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16" yWindow="-12" windowWidth="8796" windowHeight="6660"/>
  </bookViews>
  <sheets>
    <sheet name="END OF YR CONSOLIDATION" sheetId="2" r:id="rId1"/>
    <sheet name="CY 1" sheetId="3" r:id="rId2"/>
    <sheet name="CY 2" sheetId="5" r:id="rId3"/>
    <sheet name="CY 3" sheetId="7" r:id="rId4"/>
    <sheet name="CY 4" sheetId="8" r:id="rId5"/>
    <sheet name="CY 5" sheetId="9" r:id="rId6"/>
    <sheet name="CY 6" sheetId="10" r:id="rId7"/>
    <sheet name="CY 7" sheetId="12" r:id="rId8"/>
  </sheets>
  <definedNames>
    <definedName name="_xlnm.Print_Area" localSheetId="0">'END OF YR CONSOLIDATION'!$A$1:$V$119</definedName>
    <definedName name="_xlnm.Print_Titles" localSheetId="0">'END OF YR CONSOLIDATION'!$A:$D</definedName>
  </definedNames>
  <calcPr calcId="145621" iterate="1"/>
</workbook>
</file>

<file path=xl/calcChain.xml><?xml version="1.0" encoding="utf-8"?>
<calcChain xmlns="http://schemas.openxmlformats.org/spreadsheetml/2006/main">
  <c r="O37" i="2" l="1"/>
  <c r="I83" i="2" l="1"/>
  <c r="V20" i="2" l="1"/>
  <c r="U20" i="2"/>
  <c r="T20" i="2"/>
  <c r="S20" i="2"/>
  <c r="R20" i="2"/>
  <c r="R35" i="2" s="1"/>
  <c r="Q20" i="2"/>
  <c r="P20" i="2"/>
  <c r="O20" i="2"/>
  <c r="N20" i="2"/>
  <c r="N35" i="2" s="1"/>
  <c r="M20" i="2"/>
  <c r="L20" i="2"/>
  <c r="L35" i="2" s="1"/>
  <c r="K20" i="2"/>
  <c r="J20" i="2"/>
  <c r="J35" i="2" s="1"/>
  <c r="I20" i="2"/>
  <c r="H20" i="2"/>
  <c r="G20" i="2"/>
  <c r="F20" i="2"/>
  <c r="V44" i="2"/>
  <c r="U44" i="2"/>
  <c r="T44" i="2"/>
  <c r="S44" i="2"/>
  <c r="R44" i="2"/>
  <c r="Q44" i="2"/>
  <c r="P44" i="2"/>
  <c r="O44" i="2"/>
  <c r="N44" i="2"/>
  <c r="M44" i="2"/>
  <c r="L44" i="2"/>
  <c r="K44" i="2"/>
  <c r="J44" i="2"/>
  <c r="I44" i="2"/>
  <c r="H44" i="2"/>
  <c r="G44" i="2"/>
  <c r="F44" i="2"/>
  <c r="V35" i="2"/>
  <c r="U35" i="2"/>
  <c r="T35" i="2"/>
  <c r="S35" i="2"/>
  <c r="Q35" i="2"/>
  <c r="P35" i="2"/>
  <c r="O35" i="2"/>
  <c r="M35" i="2"/>
  <c r="K35" i="2"/>
  <c r="H35" i="2"/>
  <c r="V105" i="2" l="1"/>
  <c r="U105" i="2"/>
  <c r="T105" i="2"/>
  <c r="S105" i="2"/>
  <c r="R105" i="2"/>
  <c r="Q105" i="2"/>
  <c r="P105" i="2"/>
  <c r="O105" i="2"/>
  <c r="V96" i="2"/>
  <c r="U96" i="2"/>
  <c r="T96" i="2"/>
  <c r="S96" i="2"/>
  <c r="R96" i="2"/>
  <c r="Q96" i="2"/>
  <c r="P96" i="2"/>
  <c r="R119" i="2"/>
  <c r="Q119" i="2"/>
  <c r="P119" i="2"/>
  <c r="R118" i="2"/>
  <c r="Q118" i="2"/>
  <c r="P118" i="2"/>
  <c r="R117" i="2"/>
  <c r="Q117" i="2"/>
  <c r="P117" i="2"/>
  <c r="R116" i="2"/>
  <c r="Q116" i="2"/>
  <c r="P116" i="2"/>
  <c r="V83" i="2"/>
  <c r="U83" i="2"/>
  <c r="T83" i="2"/>
  <c r="S83" i="2"/>
  <c r="R83" i="2"/>
  <c r="P111" i="2"/>
  <c r="P110" i="2"/>
  <c r="P109" i="2"/>
  <c r="P108" i="2"/>
  <c r="P107" i="2"/>
  <c r="P106" i="2"/>
  <c r="P104" i="2"/>
  <c r="P103" i="2"/>
  <c r="P102" i="2"/>
  <c r="P101" i="2"/>
  <c r="P100" i="2"/>
  <c r="P99" i="2"/>
  <c r="P98" i="2"/>
  <c r="P97" i="2"/>
  <c r="P95" i="2"/>
  <c r="P94" i="2"/>
  <c r="P93" i="2"/>
  <c r="P92" i="2"/>
  <c r="P91" i="2"/>
  <c r="P90" i="2"/>
  <c r="P89" i="2"/>
  <c r="R111" i="2"/>
  <c r="Q111" i="2"/>
  <c r="R110" i="2"/>
  <c r="Q110" i="2"/>
  <c r="R109" i="2"/>
  <c r="Q109" i="2"/>
  <c r="R108" i="2"/>
  <c r="Q108" i="2"/>
  <c r="R107" i="2"/>
  <c r="Q107" i="2"/>
  <c r="R106" i="2"/>
  <c r="Q106" i="2"/>
  <c r="V104" i="2"/>
  <c r="U104" i="2"/>
  <c r="T104" i="2"/>
  <c r="S104" i="2"/>
  <c r="R104" i="2"/>
  <c r="Q104" i="2"/>
  <c r="V103" i="2"/>
  <c r="U103" i="2"/>
  <c r="T103" i="2"/>
  <c r="S103" i="2"/>
  <c r="R103" i="2"/>
  <c r="Q103" i="2"/>
  <c r="U102" i="2"/>
  <c r="T102" i="2"/>
  <c r="S102" i="2"/>
  <c r="R102" i="2"/>
  <c r="Q102" i="2"/>
  <c r="T101" i="2"/>
  <c r="S101" i="2"/>
  <c r="R101" i="2"/>
  <c r="Q101" i="2"/>
  <c r="S100" i="2"/>
  <c r="R100" i="2"/>
  <c r="Q100" i="2"/>
  <c r="R99" i="2"/>
  <c r="Q99" i="2"/>
  <c r="R98" i="2"/>
  <c r="Q98" i="2"/>
  <c r="R97" i="2"/>
  <c r="Q97" i="2"/>
  <c r="V95" i="2"/>
  <c r="U95" i="2"/>
  <c r="T95" i="2"/>
  <c r="S95" i="2"/>
  <c r="R95" i="2"/>
  <c r="Q95" i="2"/>
  <c r="V94" i="2"/>
  <c r="U94" i="2"/>
  <c r="T94" i="2"/>
  <c r="S94" i="2"/>
  <c r="R94" i="2"/>
  <c r="Q94" i="2"/>
  <c r="U93" i="2"/>
  <c r="T93" i="2"/>
  <c r="S93" i="2"/>
  <c r="R93" i="2"/>
  <c r="Q93" i="2"/>
  <c r="T92" i="2"/>
  <c r="S92" i="2"/>
  <c r="R92" i="2"/>
  <c r="Q92" i="2"/>
  <c r="S91" i="2"/>
  <c r="R91" i="2"/>
  <c r="Q91" i="2"/>
  <c r="R90" i="2"/>
  <c r="Q90" i="2"/>
  <c r="R89" i="2"/>
  <c r="Q89" i="2"/>
  <c r="G109" i="2"/>
  <c r="G108" i="2"/>
  <c r="G107" i="2"/>
  <c r="G106" i="2"/>
  <c r="G105" i="2"/>
  <c r="P115" i="2"/>
  <c r="P114" i="2"/>
  <c r="P113" i="2"/>
  <c r="P112" i="2"/>
  <c r="G119" i="2"/>
  <c r="G118" i="2"/>
  <c r="G117" i="2"/>
  <c r="G116" i="2"/>
  <c r="G115" i="2"/>
  <c r="G114" i="2"/>
  <c r="G113" i="2"/>
  <c r="G112" i="2"/>
  <c r="G111" i="2"/>
  <c r="G110" i="2"/>
  <c r="G104" i="2"/>
  <c r="G103" i="2"/>
  <c r="G102" i="2"/>
  <c r="G101" i="2"/>
  <c r="G100" i="2"/>
  <c r="G99" i="2"/>
  <c r="G98" i="2"/>
  <c r="G97" i="2"/>
  <c r="G96" i="2"/>
  <c r="G95" i="2"/>
  <c r="R115" i="2"/>
  <c r="Q115" i="2"/>
  <c r="R114" i="2"/>
  <c r="Q114" i="2"/>
  <c r="R113" i="2"/>
  <c r="Q113" i="2"/>
  <c r="R112" i="2"/>
  <c r="Q112" i="2"/>
  <c r="G89" i="2"/>
  <c r="G90" i="2"/>
  <c r="G91" i="2"/>
  <c r="G92" i="2"/>
  <c r="G93" i="2"/>
  <c r="G94" i="2"/>
  <c r="F89" i="2"/>
  <c r="C72" i="2" l="1"/>
  <c r="V85" i="2"/>
  <c r="U85" i="2"/>
  <c r="T85" i="2"/>
  <c r="S85" i="2"/>
  <c r="R85" i="2"/>
  <c r="Q85" i="2"/>
  <c r="P85" i="2"/>
  <c r="O85" i="2"/>
  <c r="N85" i="2"/>
  <c r="M85" i="2"/>
  <c r="L85" i="2"/>
  <c r="K85" i="2"/>
  <c r="J85" i="2"/>
  <c r="I85" i="2"/>
  <c r="H85" i="2"/>
  <c r="G85" i="2"/>
  <c r="F85" i="2"/>
  <c r="H13" i="2" l="1"/>
  <c r="M18" i="2" l="1"/>
  <c r="V42" i="2" l="1"/>
  <c r="V82" i="2" s="1"/>
  <c r="U42" i="2"/>
  <c r="U82" i="2" s="1"/>
  <c r="T42" i="2"/>
  <c r="T82" i="2" s="1"/>
  <c r="S42" i="2"/>
  <c r="S82" i="2" s="1"/>
  <c r="R42" i="2"/>
  <c r="R82" i="2" s="1"/>
  <c r="Q42" i="2"/>
  <c r="P42" i="2"/>
  <c r="O42" i="2"/>
  <c r="N42" i="2"/>
  <c r="M42" i="2"/>
  <c r="L42" i="2"/>
  <c r="K42" i="2"/>
  <c r="J42" i="2"/>
  <c r="I42" i="2"/>
  <c r="H42" i="2"/>
  <c r="G42" i="2"/>
  <c r="F42" i="2"/>
  <c r="J18" i="2" l="1"/>
  <c r="V18" i="2" l="1"/>
  <c r="U18" i="2"/>
  <c r="T18" i="2"/>
  <c r="S18" i="2"/>
  <c r="R18" i="2"/>
  <c r="Q18" i="2"/>
  <c r="P18" i="2"/>
  <c r="O18" i="2"/>
  <c r="N18" i="2"/>
  <c r="L18" i="2"/>
  <c r="K18" i="2"/>
  <c r="I18" i="2"/>
  <c r="H18" i="2"/>
  <c r="G18" i="2"/>
  <c r="F18" i="2"/>
  <c r="L13" i="2"/>
  <c r="K13" i="2"/>
  <c r="J13" i="2"/>
  <c r="I13" i="2"/>
  <c r="V12" i="2"/>
  <c r="U12" i="2"/>
  <c r="T12" i="2"/>
  <c r="S12" i="2"/>
  <c r="R12" i="2"/>
  <c r="Q12" i="2"/>
  <c r="P12" i="2"/>
  <c r="O12" i="2"/>
  <c r="N12" i="2"/>
  <c r="M12" i="2"/>
  <c r="L12" i="2"/>
  <c r="K12" i="2"/>
  <c r="J12" i="2"/>
  <c r="I12" i="2"/>
  <c r="H12" i="2"/>
  <c r="G12" i="2"/>
  <c r="F12" i="2"/>
  <c r="T43" i="2" l="1"/>
  <c r="S43" i="2"/>
  <c r="P43" i="2"/>
  <c r="V43" i="2"/>
  <c r="R43" i="2"/>
  <c r="N43" i="2"/>
  <c r="J43" i="2"/>
  <c r="L43" i="2"/>
  <c r="O43" i="2"/>
  <c r="U43" i="2"/>
  <c r="Q43" i="2"/>
  <c r="M43" i="2"/>
  <c r="H43" i="2"/>
  <c r="U14" i="2" l="1"/>
  <c r="U15" i="2" s="1"/>
  <c r="N14" i="2"/>
  <c r="N15" i="2" s="1"/>
  <c r="S14" i="2"/>
  <c r="S15" i="2" s="1"/>
  <c r="R14" i="2"/>
  <c r="R15" i="2" s="1"/>
  <c r="M14" i="2"/>
  <c r="M15" i="2" s="1"/>
  <c r="L14" i="2"/>
  <c r="L15" i="2" s="1"/>
  <c r="L50" i="2" s="1"/>
  <c r="V14" i="2"/>
  <c r="V15" i="2" s="1"/>
  <c r="H14" i="2"/>
  <c r="H15" i="2" s="1"/>
  <c r="O14" i="2"/>
  <c r="O15" i="2" s="1"/>
  <c r="T14" i="2"/>
  <c r="T15" i="2" s="1"/>
  <c r="Q14" i="2"/>
  <c r="Q15" i="2" s="1"/>
  <c r="J14" i="2"/>
  <c r="J15" i="2" s="1"/>
  <c r="P14" i="2"/>
  <c r="P15" i="2" s="1"/>
  <c r="G43" i="2"/>
  <c r="F43" i="2"/>
  <c r="K43" i="2"/>
  <c r="R7" i="12"/>
  <c r="J50" i="2" l="1"/>
  <c r="J81" i="2"/>
  <c r="R24" i="2"/>
  <c r="R50" i="2"/>
  <c r="Q81" i="2"/>
  <c r="Q50" i="2"/>
  <c r="Q24" i="2"/>
  <c r="V50" i="2"/>
  <c r="V80" i="2" s="1"/>
  <c r="V24" i="2"/>
  <c r="S81" i="2"/>
  <c r="S50" i="2"/>
  <c r="N81" i="2"/>
  <c r="N50" i="2"/>
  <c r="N24" i="2"/>
  <c r="T81" i="2"/>
  <c r="T50" i="2"/>
  <c r="T24" i="2"/>
  <c r="P81" i="2"/>
  <c r="P50" i="2"/>
  <c r="P24" i="2"/>
  <c r="O81" i="2"/>
  <c r="O50" i="2"/>
  <c r="M81" i="2"/>
  <c r="M24" i="2"/>
  <c r="M50" i="2"/>
  <c r="U81" i="2"/>
  <c r="U24" i="2"/>
  <c r="U50" i="2"/>
  <c r="H24" i="2"/>
  <c r="H50" i="2"/>
  <c r="U90" i="2" s="1"/>
  <c r="L81" i="2"/>
  <c r="L24" i="2"/>
  <c r="J23" i="2"/>
  <c r="J19" i="2"/>
  <c r="J34" i="2"/>
  <c r="T23" i="2"/>
  <c r="T19" i="2"/>
  <c r="T34" i="2"/>
  <c r="L19" i="2"/>
  <c r="L23" i="2"/>
  <c r="L34" i="2"/>
  <c r="R23" i="2"/>
  <c r="R19" i="2"/>
  <c r="R34" i="2"/>
  <c r="R81" i="2" s="1"/>
  <c r="P23" i="2"/>
  <c r="P19" i="2"/>
  <c r="P34" i="2"/>
  <c r="Q23" i="2"/>
  <c r="Q19" i="2"/>
  <c r="Q34" i="2"/>
  <c r="O23" i="2"/>
  <c r="O49" i="2" s="1"/>
  <c r="O57" i="2" s="1"/>
  <c r="O19" i="2"/>
  <c r="O34" i="2"/>
  <c r="O24" i="2" s="1"/>
  <c r="V23" i="2"/>
  <c r="V19" i="2"/>
  <c r="V34" i="2"/>
  <c r="M23" i="2"/>
  <c r="M19" i="2"/>
  <c r="M34" i="2"/>
  <c r="S23" i="2"/>
  <c r="S19" i="2"/>
  <c r="S34" i="2"/>
  <c r="S24" i="2" s="1"/>
  <c r="U23" i="2"/>
  <c r="U19" i="2"/>
  <c r="U34" i="2"/>
  <c r="H23" i="2"/>
  <c r="H19" i="2"/>
  <c r="H34" i="2"/>
  <c r="H81" i="2" s="1"/>
  <c r="N23" i="2"/>
  <c r="N19" i="2"/>
  <c r="N34" i="2"/>
  <c r="K14" i="2"/>
  <c r="K15" i="2" s="1"/>
  <c r="K50" i="2" s="1"/>
  <c r="F14" i="2"/>
  <c r="G14" i="2"/>
  <c r="E12" i="5"/>
  <c r="V81" i="2" l="1"/>
  <c r="V84" i="2" s="1"/>
  <c r="J24" i="2"/>
  <c r="K81" i="2"/>
  <c r="K24" i="2"/>
  <c r="K23" i="2"/>
  <c r="K19" i="2"/>
  <c r="K34" i="2"/>
  <c r="B8" i="2"/>
  <c r="F90" i="2" s="1"/>
  <c r="V86" i="2" l="1"/>
  <c r="B9" i="2"/>
  <c r="F91" i="2" s="1"/>
  <c r="B10" i="2" l="1"/>
  <c r="F92" i="2" s="1"/>
  <c r="V9" i="2"/>
  <c r="V36" i="2" s="1"/>
  <c r="D1" i="12"/>
  <c r="F5" i="12" s="1"/>
  <c r="D1" i="10"/>
  <c r="F5" i="10" s="1"/>
  <c r="D1" i="9"/>
  <c r="F5" i="9" s="1"/>
  <c r="D1" i="8"/>
  <c r="F5" i="8" s="1"/>
  <c r="D1" i="7"/>
  <c r="F5" i="7" s="1"/>
  <c r="D1" i="5"/>
  <c r="F5" i="5" s="1"/>
  <c r="D1" i="3"/>
  <c r="F5" i="3" s="1"/>
  <c r="F14" i="3" s="1"/>
  <c r="B11" i="2" l="1"/>
  <c r="F93" i="2" s="1"/>
  <c r="V76" i="2"/>
  <c r="U76" i="2"/>
  <c r="T76" i="2"/>
  <c r="S76" i="2"/>
  <c r="R76" i="2"/>
  <c r="Q76" i="2"/>
  <c r="P76" i="2"/>
  <c r="O76" i="2"/>
  <c r="N76" i="2"/>
  <c r="M76" i="2"/>
  <c r="Q5" i="12"/>
  <c r="Q14" i="12" s="1"/>
  <c r="P5" i="12"/>
  <c r="P14" i="12" s="1"/>
  <c r="O5" i="12"/>
  <c r="O14" i="12" s="1"/>
  <c r="N5" i="12"/>
  <c r="N14" i="12" s="1"/>
  <c r="M5" i="12"/>
  <c r="M14" i="12" s="1"/>
  <c r="L5" i="12"/>
  <c r="L14" i="12" s="1"/>
  <c r="K5" i="12"/>
  <c r="K14" i="12" s="1"/>
  <c r="J5" i="12"/>
  <c r="J14" i="12" s="1"/>
  <c r="I5" i="12"/>
  <c r="I14" i="12" s="1"/>
  <c r="H5" i="12"/>
  <c r="H14" i="12" s="1"/>
  <c r="G5" i="12"/>
  <c r="G14" i="12" s="1"/>
  <c r="F14" i="12"/>
  <c r="G5" i="10"/>
  <c r="G14" i="10" s="1"/>
  <c r="F14" i="9"/>
  <c r="G5" i="8"/>
  <c r="V10" i="2"/>
  <c r="U10" i="2"/>
  <c r="T10" i="2"/>
  <c r="S10" i="2"/>
  <c r="R10" i="2"/>
  <c r="Q10" i="2"/>
  <c r="P10" i="2"/>
  <c r="O10" i="2"/>
  <c r="N10" i="2"/>
  <c r="M10" i="2"/>
  <c r="L10" i="2"/>
  <c r="K10" i="2"/>
  <c r="J10" i="2"/>
  <c r="I10" i="2"/>
  <c r="H10" i="2"/>
  <c r="G10" i="2"/>
  <c r="F10" i="2"/>
  <c r="V61" i="2"/>
  <c r="U61" i="2"/>
  <c r="T61" i="2"/>
  <c r="S61" i="2"/>
  <c r="R61" i="2"/>
  <c r="Q61" i="2"/>
  <c r="P61" i="2"/>
  <c r="O61" i="2"/>
  <c r="N61" i="2"/>
  <c r="M61" i="2"/>
  <c r="J9" i="2"/>
  <c r="J36" i="2" s="1"/>
  <c r="R10" i="12"/>
  <c r="F11" i="12"/>
  <c r="F12" i="12" s="1"/>
  <c r="R7" i="10"/>
  <c r="R10" i="10"/>
  <c r="R7" i="9"/>
  <c r="R7" i="8"/>
  <c r="R10" i="9"/>
  <c r="R10" i="8"/>
  <c r="R7" i="7"/>
  <c r="R7" i="5"/>
  <c r="F14" i="7"/>
  <c r="R10" i="7"/>
  <c r="F14" i="5"/>
  <c r="R10" i="5"/>
  <c r="G13" i="2" s="1"/>
  <c r="G15" i="2" s="1"/>
  <c r="R10" i="3"/>
  <c r="F13" i="2" s="1"/>
  <c r="R7" i="3"/>
  <c r="G5" i="3"/>
  <c r="H5" i="3" s="1"/>
  <c r="F15" i="2" l="1"/>
  <c r="F50" i="2" s="1"/>
  <c r="S90" i="2" s="1"/>
  <c r="F76" i="2"/>
  <c r="S111" i="2" s="1"/>
  <c r="G50" i="2"/>
  <c r="T90" i="2" s="1"/>
  <c r="G23" i="2"/>
  <c r="G24" i="2"/>
  <c r="G19" i="2"/>
  <c r="G34" i="2"/>
  <c r="F11" i="9"/>
  <c r="F12" i="9" s="1"/>
  <c r="F11" i="3"/>
  <c r="F12" i="3" s="1"/>
  <c r="F11" i="5"/>
  <c r="F12" i="5" s="1"/>
  <c r="F11" i="8"/>
  <c r="F12" i="8" s="1"/>
  <c r="F11" i="7"/>
  <c r="F12" i="7" s="1"/>
  <c r="F11" i="10"/>
  <c r="F12" i="10" s="1"/>
  <c r="B12" i="2"/>
  <c r="F94" i="2" s="1"/>
  <c r="H76" i="2"/>
  <c r="U111" i="2" s="1"/>
  <c r="M49" i="2"/>
  <c r="M57" i="2" s="1"/>
  <c r="I76" i="2"/>
  <c r="V111" i="2" s="1"/>
  <c r="K76" i="2"/>
  <c r="L76" i="2"/>
  <c r="J76" i="2"/>
  <c r="G76" i="2"/>
  <c r="T111" i="2" s="1"/>
  <c r="H5" i="8"/>
  <c r="H14" i="8" s="1"/>
  <c r="G14" i="8"/>
  <c r="I5" i="3"/>
  <c r="J5" i="3" s="1"/>
  <c r="H14" i="3"/>
  <c r="F14" i="8"/>
  <c r="R14" i="12"/>
  <c r="G5" i="5"/>
  <c r="G5" i="7"/>
  <c r="F14" i="10"/>
  <c r="H5" i="10"/>
  <c r="H14" i="10" s="1"/>
  <c r="G5" i="9"/>
  <c r="H61" i="2"/>
  <c r="U99" i="2" s="1"/>
  <c r="G11" i="12"/>
  <c r="G12" i="12" s="1"/>
  <c r="G14" i="3"/>
  <c r="U9" i="2"/>
  <c r="U36" i="2" s="1"/>
  <c r="T9" i="2"/>
  <c r="T36" i="2" s="1"/>
  <c r="S9" i="2"/>
  <c r="S36" i="2" s="1"/>
  <c r="R9" i="2"/>
  <c r="R36" i="2" s="1"/>
  <c r="Q9" i="2"/>
  <c r="Q36" i="2" s="1"/>
  <c r="P9" i="2"/>
  <c r="P36" i="2" s="1"/>
  <c r="O9" i="2"/>
  <c r="O36" i="2" s="1"/>
  <c r="N9" i="2"/>
  <c r="N36" i="2" s="1"/>
  <c r="M9" i="2"/>
  <c r="M36" i="2" s="1"/>
  <c r="L9" i="2"/>
  <c r="L36" i="2" s="1"/>
  <c r="K9" i="2"/>
  <c r="K36" i="2" s="1"/>
  <c r="I9" i="2"/>
  <c r="H9" i="2"/>
  <c r="H36" i="2" s="1"/>
  <c r="G9" i="2"/>
  <c r="F9" i="2"/>
  <c r="G35" i="2" l="1"/>
  <c r="G81" i="2" s="1"/>
  <c r="G61" i="2"/>
  <c r="T99" i="2" s="1"/>
  <c r="F23" i="2"/>
  <c r="F19" i="2"/>
  <c r="F34" i="2"/>
  <c r="F24" i="2"/>
  <c r="G26" i="2" s="1"/>
  <c r="K61" i="2"/>
  <c r="L61" i="2"/>
  <c r="J61" i="2"/>
  <c r="F61" i="2"/>
  <c r="S99" i="2" s="1"/>
  <c r="G11" i="8"/>
  <c r="G12" i="8" s="1"/>
  <c r="G11" i="7"/>
  <c r="G12" i="7" s="1"/>
  <c r="G11" i="9"/>
  <c r="G12" i="9" s="1"/>
  <c r="G11" i="5"/>
  <c r="G12" i="5" s="1"/>
  <c r="G11" i="10"/>
  <c r="G12" i="10" s="1"/>
  <c r="G11" i="3"/>
  <c r="G12" i="3" s="1"/>
  <c r="B13" i="2"/>
  <c r="I43" i="2"/>
  <c r="I14" i="3"/>
  <c r="I5" i="8"/>
  <c r="J5" i="8" s="1"/>
  <c r="K5" i="8" s="1"/>
  <c r="L5" i="8" s="1"/>
  <c r="M5" i="8" s="1"/>
  <c r="N5" i="8" s="1"/>
  <c r="O5" i="8" s="1"/>
  <c r="P5" i="8" s="1"/>
  <c r="Q5" i="8" s="1"/>
  <c r="K5" i="3"/>
  <c r="J14" i="3"/>
  <c r="H5" i="7"/>
  <c r="G14" i="7"/>
  <c r="H5" i="5"/>
  <c r="G14" i="5"/>
  <c r="I5" i="10"/>
  <c r="I14" i="10" s="1"/>
  <c r="G14" i="9"/>
  <c r="H5" i="9"/>
  <c r="H11" i="12"/>
  <c r="H12" i="12" s="1"/>
  <c r="V49" i="2"/>
  <c r="U49" i="2"/>
  <c r="T49" i="2"/>
  <c r="R8" i="12"/>
  <c r="F35" i="2" l="1"/>
  <c r="F36" i="2" s="1"/>
  <c r="G36" i="2"/>
  <c r="H26" i="2"/>
  <c r="B14" i="2"/>
  <c r="F96" i="2" s="1"/>
  <c r="F95" i="2"/>
  <c r="H11" i="5"/>
  <c r="H12" i="5" s="1"/>
  <c r="H11" i="8"/>
  <c r="H12" i="8" s="1"/>
  <c r="H11" i="9"/>
  <c r="H12" i="9" s="1"/>
  <c r="I14" i="2"/>
  <c r="I15" i="2" s="1"/>
  <c r="H11" i="10"/>
  <c r="H12" i="10" s="1"/>
  <c r="H11" i="7"/>
  <c r="H12" i="7" s="1"/>
  <c r="I14" i="8"/>
  <c r="P49" i="2"/>
  <c r="Q49" i="2"/>
  <c r="J14" i="8"/>
  <c r="I5" i="7"/>
  <c r="H14" i="7"/>
  <c r="K14" i="3"/>
  <c r="L5" i="3"/>
  <c r="H14" i="5"/>
  <c r="I5" i="5"/>
  <c r="J5" i="10"/>
  <c r="J14" i="10" s="1"/>
  <c r="I5" i="9"/>
  <c r="H14" i="9"/>
  <c r="K14" i="8"/>
  <c r="R8" i="5"/>
  <c r="R8" i="10"/>
  <c r="N49" i="2"/>
  <c r="N57" i="2" s="1"/>
  <c r="R49" i="2"/>
  <c r="R8" i="8"/>
  <c r="R8" i="3"/>
  <c r="R8" i="9"/>
  <c r="R8" i="7"/>
  <c r="S49" i="2"/>
  <c r="S57" i="2" s="1"/>
  <c r="I11" i="12"/>
  <c r="I12" i="12" s="1"/>
  <c r="H11" i="3"/>
  <c r="H12" i="3" s="1"/>
  <c r="F81" i="2" l="1"/>
  <c r="I50" i="2"/>
  <c r="V90" i="2" s="1"/>
  <c r="I34" i="2"/>
  <c r="I35" i="2" s="1"/>
  <c r="B15" i="2"/>
  <c r="I11" i="8"/>
  <c r="I12" i="8" s="1"/>
  <c r="I61" i="2"/>
  <c r="V99" i="2" s="1"/>
  <c r="I11" i="9"/>
  <c r="I12" i="9" s="1"/>
  <c r="I11" i="5"/>
  <c r="I12" i="5" s="1"/>
  <c r="I11" i="10"/>
  <c r="I12" i="10" s="1"/>
  <c r="I23" i="2"/>
  <c r="I27" i="2" s="1"/>
  <c r="I19" i="2"/>
  <c r="I11" i="7"/>
  <c r="I12" i="7" s="1"/>
  <c r="F38" i="2"/>
  <c r="F73" i="2" s="1"/>
  <c r="S109" i="2" s="1"/>
  <c r="M5" i="3"/>
  <c r="L14" i="3"/>
  <c r="I14" i="5"/>
  <c r="J5" i="5"/>
  <c r="I14" i="7"/>
  <c r="J5" i="7"/>
  <c r="K5" i="10"/>
  <c r="K14" i="10" s="1"/>
  <c r="I14" i="9"/>
  <c r="J5" i="9"/>
  <c r="L14" i="8"/>
  <c r="J11" i="12"/>
  <c r="J12" i="12" s="1"/>
  <c r="I11" i="3"/>
  <c r="I12" i="3" s="1"/>
  <c r="J28" i="2" l="1"/>
  <c r="B16" i="2"/>
  <c r="F97" i="2"/>
  <c r="J11" i="9"/>
  <c r="J12" i="9" s="1"/>
  <c r="J11" i="8"/>
  <c r="J12" i="8" s="1"/>
  <c r="J11" i="5"/>
  <c r="J12" i="5" s="1"/>
  <c r="I24" i="2"/>
  <c r="I81" i="2"/>
  <c r="J11" i="10"/>
  <c r="J12" i="10" s="1"/>
  <c r="I36" i="2"/>
  <c r="I38" i="2" s="1"/>
  <c r="I73" i="2" s="1"/>
  <c r="V109" i="2" s="1"/>
  <c r="J11" i="7"/>
  <c r="J12" i="7" s="1"/>
  <c r="H38" i="2"/>
  <c r="H73" i="2" s="1"/>
  <c r="U109" i="2" s="1"/>
  <c r="G38" i="2"/>
  <c r="G73" i="2" s="1"/>
  <c r="T109" i="2" s="1"/>
  <c r="J14" i="7"/>
  <c r="K5" i="7"/>
  <c r="J14" i="5"/>
  <c r="K5" i="5"/>
  <c r="N5" i="3"/>
  <c r="M14" i="3"/>
  <c r="L5" i="10"/>
  <c r="L14" i="10" s="1"/>
  <c r="J14" i="9"/>
  <c r="K5" i="9"/>
  <c r="M14" i="8"/>
  <c r="K11" i="12"/>
  <c r="K12" i="12" s="1"/>
  <c r="J11" i="3"/>
  <c r="J12" i="3" s="1"/>
  <c r="B17" i="2" l="1"/>
  <c r="F98" i="2"/>
  <c r="K11" i="9"/>
  <c r="K12" i="9" s="1"/>
  <c r="K11" i="8"/>
  <c r="K12" i="8" s="1"/>
  <c r="K11" i="5"/>
  <c r="K12" i="5" s="1"/>
  <c r="K11" i="10"/>
  <c r="K12" i="10" s="1"/>
  <c r="K11" i="7"/>
  <c r="K12" i="7" s="1"/>
  <c r="O5" i="3"/>
  <c r="N14" i="3"/>
  <c r="K14" i="7"/>
  <c r="L5" i="7"/>
  <c r="K14" i="5"/>
  <c r="L5" i="5"/>
  <c r="M5" i="10"/>
  <c r="M14" i="10" s="1"/>
  <c r="K14" i="9"/>
  <c r="L5" i="9"/>
  <c r="N14" i="8"/>
  <c r="L11" i="12"/>
  <c r="L12" i="12" s="1"/>
  <c r="L11" i="9"/>
  <c r="L12" i="9" s="1"/>
  <c r="L11" i="8"/>
  <c r="L12" i="8" s="1"/>
  <c r="K11" i="3"/>
  <c r="K12" i="3" s="1"/>
  <c r="L11" i="5" l="1"/>
  <c r="L12" i="5" s="1"/>
  <c r="B18" i="2"/>
  <c r="F99" i="2"/>
  <c r="L11" i="7"/>
  <c r="L12" i="7" s="1"/>
  <c r="L11" i="10"/>
  <c r="L12" i="10" s="1"/>
  <c r="M5" i="5"/>
  <c r="L14" i="5"/>
  <c r="M5" i="7"/>
  <c r="L14" i="7"/>
  <c r="P5" i="3"/>
  <c r="O14" i="3"/>
  <c r="N5" i="10"/>
  <c r="N14" i="10" s="1"/>
  <c r="M5" i="9"/>
  <c r="L14" i="9"/>
  <c r="O14" i="8"/>
  <c r="M11" i="12"/>
  <c r="M12" i="12" s="1"/>
  <c r="M11" i="9"/>
  <c r="M12" i="9" s="1"/>
  <c r="M11" i="8"/>
  <c r="M12" i="8" s="1"/>
  <c r="L11" i="3"/>
  <c r="L12" i="3" s="1"/>
  <c r="M11" i="5" l="1"/>
  <c r="M12" i="5" s="1"/>
  <c r="B19" i="2"/>
  <c r="F100" i="2"/>
  <c r="M11" i="7"/>
  <c r="M12" i="7" s="1"/>
  <c r="M11" i="10"/>
  <c r="M12" i="10" s="1"/>
  <c r="M14" i="7"/>
  <c r="N5" i="7"/>
  <c r="Q5" i="3"/>
  <c r="Q14" i="3" s="1"/>
  <c r="P14" i="3"/>
  <c r="N5" i="5"/>
  <c r="M14" i="5"/>
  <c r="O5" i="10"/>
  <c r="O14" i="10" s="1"/>
  <c r="M14" i="9"/>
  <c r="N5" i="9"/>
  <c r="Q14" i="8"/>
  <c r="P14" i="8"/>
  <c r="N11" i="12"/>
  <c r="N12" i="12" s="1"/>
  <c r="N11" i="9"/>
  <c r="N12" i="9" s="1"/>
  <c r="N11" i="8"/>
  <c r="N12" i="8" s="1"/>
  <c r="M11" i="3"/>
  <c r="M12" i="3" s="1"/>
  <c r="N11" i="5" l="1"/>
  <c r="N12" i="5" s="1"/>
  <c r="B20" i="2"/>
  <c r="F101" i="2"/>
  <c r="N11" i="7"/>
  <c r="N12" i="7" s="1"/>
  <c r="N11" i="10"/>
  <c r="N12" i="10" s="1"/>
  <c r="R14" i="3"/>
  <c r="O5" i="7"/>
  <c r="N14" i="7"/>
  <c r="N14" i="5"/>
  <c r="O5" i="5"/>
  <c r="R14" i="8"/>
  <c r="P5" i="10"/>
  <c r="P14" i="10" s="1"/>
  <c r="N14" i="9"/>
  <c r="O5" i="9"/>
  <c r="O11" i="12"/>
  <c r="O12" i="12" s="1"/>
  <c r="O11" i="9"/>
  <c r="O12" i="9" s="1"/>
  <c r="O11" i="8"/>
  <c r="O12" i="8" s="1"/>
  <c r="N11" i="3"/>
  <c r="N12" i="3" s="1"/>
  <c r="O11" i="5" l="1"/>
  <c r="O12" i="5" s="1"/>
  <c r="B23" i="2"/>
  <c r="F102" i="2"/>
  <c r="O11" i="7"/>
  <c r="O12" i="7" s="1"/>
  <c r="O11" i="10"/>
  <c r="O12" i="10" s="1"/>
  <c r="O14" i="7"/>
  <c r="P5" i="7"/>
  <c r="O14" i="5"/>
  <c r="P5" i="5"/>
  <c r="Q5" i="10"/>
  <c r="Q14" i="10" s="1"/>
  <c r="O14" i="9"/>
  <c r="P5" i="9"/>
  <c r="P11" i="12"/>
  <c r="P12" i="12" s="1"/>
  <c r="P11" i="9"/>
  <c r="P12" i="9" s="1"/>
  <c r="P11" i="8"/>
  <c r="P12" i="8" s="1"/>
  <c r="O11" i="3"/>
  <c r="O12" i="3" s="1"/>
  <c r="P11" i="5" l="1"/>
  <c r="Q11" i="5" s="1"/>
  <c r="Q12" i="5" s="1"/>
  <c r="F103" i="2"/>
  <c r="B24" i="2"/>
  <c r="P11" i="7"/>
  <c r="P12" i="7" s="1"/>
  <c r="P11" i="10"/>
  <c r="P12" i="10" s="1"/>
  <c r="Q5" i="5"/>
  <c r="Q14" i="5" s="1"/>
  <c r="P14" i="5"/>
  <c r="Q5" i="7"/>
  <c r="Q14" i="7" s="1"/>
  <c r="P14" i="7"/>
  <c r="R14" i="10"/>
  <c r="Q5" i="9"/>
  <c r="Q14" i="9" s="1"/>
  <c r="P14" i="9"/>
  <c r="Q11" i="12"/>
  <c r="Q12" i="12" s="1"/>
  <c r="R12" i="12" s="1"/>
  <c r="Q11" i="9"/>
  <c r="Q12" i="9" s="1"/>
  <c r="R12" i="9" s="1"/>
  <c r="Q11" i="8"/>
  <c r="Q12" i="8" s="1"/>
  <c r="R12" i="8" s="1"/>
  <c r="P11" i="3"/>
  <c r="P12" i="3" s="1"/>
  <c r="P12" i="5" l="1"/>
  <c r="R12" i="5" s="1"/>
  <c r="F104" i="2"/>
  <c r="B26" i="2"/>
  <c r="Q11" i="7"/>
  <c r="Q12" i="7" s="1"/>
  <c r="R12" i="7" s="1"/>
  <c r="Q11" i="10"/>
  <c r="Q12" i="10" s="1"/>
  <c r="R12" i="10" s="1"/>
  <c r="R14" i="7"/>
  <c r="R14" i="5"/>
  <c r="R14" i="9"/>
  <c r="R11" i="12"/>
  <c r="J26" i="2"/>
  <c r="R11" i="9"/>
  <c r="I26" i="2"/>
  <c r="R11" i="8"/>
  <c r="R11" i="5"/>
  <c r="Q11" i="3"/>
  <c r="J27" i="2" l="1"/>
  <c r="F105" i="2"/>
  <c r="B27" i="2"/>
  <c r="R11" i="7"/>
  <c r="R11" i="10"/>
  <c r="R11" i="3"/>
  <c r="Q12" i="3"/>
  <c r="R12" i="3" s="1"/>
  <c r="H49" i="2"/>
  <c r="I49" i="2"/>
  <c r="K49" i="2"/>
  <c r="K57" i="2" s="1"/>
  <c r="J49" i="2"/>
  <c r="L49" i="2"/>
  <c r="U89" i="2" l="1"/>
  <c r="J54" i="2"/>
  <c r="J57" i="2"/>
  <c r="J68" i="2" s="1"/>
  <c r="V89" i="2"/>
  <c r="I57" i="2"/>
  <c r="F106" i="2"/>
  <c r="B28" i="2"/>
  <c r="H27" i="2"/>
  <c r="G49" i="2"/>
  <c r="J38" i="2"/>
  <c r="J73" i="2" s="1"/>
  <c r="J53" i="2"/>
  <c r="I52" i="2"/>
  <c r="I51" i="2"/>
  <c r="J52" i="2"/>
  <c r="J51" i="2"/>
  <c r="F31" i="2"/>
  <c r="G31" i="2" s="1"/>
  <c r="J62" i="2" l="1"/>
  <c r="J63" i="2"/>
  <c r="I62" i="2"/>
  <c r="V100" i="2" s="1"/>
  <c r="V91" i="2"/>
  <c r="T89" i="2"/>
  <c r="V92" i="2"/>
  <c r="I28" i="2"/>
  <c r="F107" i="2"/>
  <c r="B29" i="2"/>
  <c r="J58" i="2"/>
  <c r="H52" i="2"/>
  <c r="H51" i="2"/>
  <c r="K29" i="2"/>
  <c r="K28" i="2"/>
  <c r="K27" i="2"/>
  <c r="K26" i="2"/>
  <c r="K54" i="2"/>
  <c r="K55" i="2"/>
  <c r="I53" i="2"/>
  <c r="V93" i="2" s="1"/>
  <c r="H31" i="2"/>
  <c r="G51" i="2"/>
  <c r="F49" i="2"/>
  <c r="J65" i="2" l="1"/>
  <c r="H63" i="2"/>
  <c r="U101" i="2" s="1"/>
  <c r="I64" i="2"/>
  <c r="G62" i="2"/>
  <c r="T100" i="2" s="1"/>
  <c r="K66" i="2"/>
  <c r="H62" i="2"/>
  <c r="U100" i="2" s="1"/>
  <c r="I63" i="2"/>
  <c r="K65" i="2"/>
  <c r="J64" i="2"/>
  <c r="G57" i="2"/>
  <c r="V101" i="2"/>
  <c r="T91" i="2"/>
  <c r="F80" i="2"/>
  <c r="S89" i="2"/>
  <c r="F57" i="2"/>
  <c r="U91" i="2"/>
  <c r="H57" i="2"/>
  <c r="K53" i="2"/>
  <c r="L30" i="2"/>
  <c r="K52" i="2"/>
  <c r="U92" i="2"/>
  <c r="J29" i="2"/>
  <c r="F108" i="2"/>
  <c r="B30" i="2"/>
  <c r="K51" i="2"/>
  <c r="L29" i="2"/>
  <c r="L28" i="2"/>
  <c r="L26" i="2"/>
  <c r="N55" i="2"/>
  <c r="M55" i="2"/>
  <c r="V102" i="2"/>
  <c r="I31" i="2"/>
  <c r="L27" i="2"/>
  <c r="K62" i="2" l="1"/>
  <c r="K64" i="2"/>
  <c r="K63" i="2"/>
  <c r="G82" i="2"/>
  <c r="G83" i="2"/>
  <c r="F58" i="2"/>
  <c r="S98" i="2" s="1"/>
  <c r="S97" i="2"/>
  <c r="H58" i="2"/>
  <c r="U98" i="2" s="1"/>
  <c r="U97" i="2"/>
  <c r="L52" i="2"/>
  <c r="K30" i="2"/>
  <c r="M30" i="2"/>
  <c r="L37" i="2"/>
  <c r="L38" i="2" s="1"/>
  <c r="L73" i="2" s="1"/>
  <c r="F109" i="2"/>
  <c r="B31" i="2"/>
  <c r="M28" i="2"/>
  <c r="M29" i="2"/>
  <c r="M27" i="2"/>
  <c r="M26" i="2"/>
  <c r="L53" i="2"/>
  <c r="L54" i="2"/>
  <c r="H80" i="2" s="1"/>
  <c r="N54" i="2"/>
  <c r="N26" i="2"/>
  <c r="N53" i="2"/>
  <c r="F68" i="2"/>
  <c r="J31" i="2"/>
  <c r="L55" i="2"/>
  <c r="G80" i="2" l="1"/>
  <c r="L66" i="2"/>
  <c r="M66" i="2"/>
  <c r="L64" i="2"/>
  <c r="L65" i="2"/>
  <c r="L63" i="2"/>
  <c r="K31" i="2"/>
  <c r="F82" i="2"/>
  <c r="F83" i="2"/>
  <c r="G84" i="2"/>
  <c r="G86" i="2" s="1"/>
  <c r="H82" i="2"/>
  <c r="H83" i="2"/>
  <c r="M37" i="2"/>
  <c r="M38" i="2" s="1"/>
  <c r="M73" i="2" s="1"/>
  <c r="F69" i="2"/>
  <c r="S106" i="2"/>
  <c r="N30" i="2"/>
  <c r="K37" i="2"/>
  <c r="K38" i="2" s="1"/>
  <c r="K73" i="2" s="1"/>
  <c r="M51" i="2"/>
  <c r="N29" i="2"/>
  <c r="B34" i="2"/>
  <c r="F110" i="2"/>
  <c r="M53" i="2"/>
  <c r="M54" i="2"/>
  <c r="M65" i="2" s="1"/>
  <c r="N28" i="2"/>
  <c r="M52" i="2"/>
  <c r="O55" i="2"/>
  <c r="N51" i="2"/>
  <c r="O54" i="2"/>
  <c r="T97" i="2"/>
  <c r="M64" i="2" l="1"/>
  <c r="O66" i="2"/>
  <c r="M62" i="2"/>
  <c r="N65" i="2"/>
  <c r="N62" i="2"/>
  <c r="N66" i="2"/>
  <c r="F84" i="2"/>
  <c r="F86" i="2" s="1"/>
  <c r="H84" i="2"/>
  <c r="H86" i="2" s="1"/>
  <c r="I82" i="2"/>
  <c r="N37" i="2"/>
  <c r="N38" i="2" s="1"/>
  <c r="N73" i="2" s="1"/>
  <c r="O29" i="2"/>
  <c r="P30" i="2" s="1"/>
  <c r="K83" i="2" s="1"/>
  <c r="O30" i="2"/>
  <c r="J83" i="2" s="1"/>
  <c r="R56" i="2" s="1"/>
  <c r="R67" i="2" s="1"/>
  <c r="F72" i="2"/>
  <c r="S107" i="2"/>
  <c r="F111" i="2"/>
  <c r="B35" i="2"/>
  <c r="G68" i="2"/>
  <c r="G58" i="2"/>
  <c r="T98" i="2" s="1"/>
  <c r="J80" i="2"/>
  <c r="I80" i="2"/>
  <c r="L31" i="2"/>
  <c r="I84" i="2" l="1"/>
  <c r="I86" i="2" s="1"/>
  <c r="O38" i="2"/>
  <c r="O73" i="2" s="1"/>
  <c r="J82" i="2"/>
  <c r="J84" i="2" s="1"/>
  <c r="J86" i="2" s="1"/>
  <c r="P37" i="2"/>
  <c r="K82" i="2"/>
  <c r="G69" i="2"/>
  <c r="T106" i="2"/>
  <c r="F74" i="2"/>
  <c r="S108" i="2"/>
  <c r="F112" i="2"/>
  <c r="B36" i="2"/>
  <c r="M31" i="2"/>
  <c r="L51" i="2"/>
  <c r="L62" i="2" l="1"/>
  <c r="M63" i="2"/>
  <c r="O65" i="2"/>
  <c r="N64" i="2"/>
  <c r="L57" i="2"/>
  <c r="G72" i="2"/>
  <c r="T107" i="2"/>
  <c r="S110" i="2"/>
  <c r="F77" i="2"/>
  <c r="F113" i="2"/>
  <c r="B37" i="2"/>
  <c r="N27" i="2"/>
  <c r="N31" i="2"/>
  <c r="P55" i="2"/>
  <c r="P66" i="2" s="1"/>
  <c r="G74" i="2" l="1"/>
  <c r="T108" i="2"/>
  <c r="F114" i="2"/>
  <c r="B38" i="2"/>
  <c r="K80" i="2"/>
  <c r="K84" i="2" s="1"/>
  <c r="O28" i="2"/>
  <c r="P29" i="2" s="1"/>
  <c r="Q30" i="2" s="1"/>
  <c r="L83" i="2" s="1"/>
  <c r="N52" i="2"/>
  <c r="O26" i="2"/>
  <c r="O51" i="2" s="1"/>
  <c r="O27" i="2"/>
  <c r="O52" i="2" s="1"/>
  <c r="H68" i="2"/>
  <c r="O31" i="2"/>
  <c r="P38" i="2"/>
  <c r="P73" i="2" s="1"/>
  <c r="O62" i="2" l="1"/>
  <c r="N63" i="2"/>
  <c r="O63" i="2"/>
  <c r="Q37" i="2"/>
  <c r="L82" i="2"/>
  <c r="H69" i="2"/>
  <c r="U106" i="2"/>
  <c r="G77" i="2"/>
  <c r="T110" i="2"/>
  <c r="B41" i="2"/>
  <c r="F116" i="2" s="1"/>
  <c r="F115" i="2"/>
  <c r="K86" i="2"/>
  <c r="P54" i="2"/>
  <c r="P28" i="2"/>
  <c r="Q29" i="2" s="1"/>
  <c r="R30" i="2" s="1"/>
  <c r="M83" i="2" s="1"/>
  <c r="P26" i="2"/>
  <c r="P27" i="2"/>
  <c r="P52" i="2" s="1"/>
  <c r="P63" i="2" s="1"/>
  <c r="O53" i="2"/>
  <c r="Q55" i="2"/>
  <c r="P31" i="2"/>
  <c r="Q66" i="2" l="1"/>
  <c r="P65" i="2"/>
  <c r="O64" i="2"/>
  <c r="R37" i="2"/>
  <c r="M82" i="2"/>
  <c r="H72" i="2"/>
  <c r="U107" i="2"/>
  <c r="L80" i="2"/>
  <c r="L84" i="2" s="1"/>
  <c r="Q26" i="2"/>
  <c r="Q27" i="2"/>
  <c r="Q28" i="2"/>
  <c r="R29" i="2" s="1"/>
  <c r="P53" i="2"/>
  <c r="B42" i="2"/>
  <c r="F117" i="2" s="1"/>
  <c r="Q38" i="2"/>
  <c r="Q73" i="2" s="1"/>
  <c r="Q31" i="2"/>
  <c r="P51" i="2"/>
  <c r="R55" i="2"/>
  <c r="Q54" i="2"/>
  <c r="P62" i="2" l="1"/>
  <c r="Q65" i="2"/>
  <c r="R66" i="2"/>
  <c r="P64" i="2"/>
  <c r="P57" i="2"/>
  <c r="I58" i="2"/>
  <c r="V98" i="2" s="1"/>
  <c r="V97" i="2"/>
  <c r="H74" i="2"/>
  <c r="U108" i="2"/>
  <c r="L86" i="2"/>
  <c r="M80" i="2"/>
  <c r="M84" i="2" s="1"/>
  <c r="R26" i="2"/>
  <c r="R28" i="2"/>
  <c r="Q52" i="2"/>
  <c r="S30" i="2"/>
  <c r="N83" i="2" s="1"/>
  <c r="S55" i="2"/>
  <c r="I68" i="2"/>
  <c r="B43" i="2"/>
  <c r="R27" i="2"/>
  <c r="R54" i="2"/>
  <c r="R38" i="2"/>
  <c r="R73" i="2" s="1"/>
  <c r="Q53" i="2"/>
  <c r="R31" i="2"/>
  <c r="Q51" i="2"/>
  <c r="Q62" i="2" l="1"/>
  <c r="Q63" i="2"/>
  <c r="Q64" i="2"/>
  <c r="R65" i="2"/>
  <c r="S66" i="2"/>
  <c r="S65" i="2"/>
  <c r="Q57" i="2"/>
  <c r="S37" i="2"/>
  <c r="S38" i="2" s="1"/>
  <c r="S73" i="2" s="1"/>
  <c r="N82" i="2"/>
  <c r="I69" i="2"/>
  <c r="V106" i="2"/>
  <c r="U110" i="2"/>
  <c r="H77" i="2"/>
  <c r="B44" i="2"/>
  <c r="F118" i="2"/>
  <c r="M86" i="2"/>
  <c r="N80" i="2"/>
  <c r="S28" i="2"/>
  <c r="S53" i="2"/>
  <c r="S29" i="2"/>
  <c r="T30" i="2" s="1"/>
  <c r="O83" i="2" s="1"/>
  <c r="S54" i="2"/>
  <c r="S26" i="2"/>
  <c r="S51" i="2" s="1"/>
  <c r="S27" i="2"/>
  <c r="S52" i="2" s="1"/>
  <c r="J69" i="2"/>
  <c r="J72" i="2" s="1"/>
  <c r="J74" i="2" s="1"/>
  <c r="R53" i="2"/>
  <c r="R64" i="2" s="1"/>
  <c r="R52" i="2"/>
  <c r="S31" i="2"/>
  <c r="R51" i="2"/>
  <c r="S63" i="2" l="1"/>
  <c r="R62" i="2"/>
  <c r="S62" i="2"/>
  <c r="R63" i="2"/>
  <c r="S64" i="2"/>
  <c r="N84" i="2"/>
  <c r="N86" i="2" s="1"/>
  <c r="R57" i="2"/>
  <c r="R68" i="2" s="1"/>
  <c r="T37" i="2"/>
  <c r="T38" i="2" s="1"/>
  <c r="T73" i="2" s="1"/>
  <c r="O82" i="2"/>
  <c r="I72" i="2"/>
  <c r="V107" i="2"/>
  <c r="B49" i="2"/>
  <c r="O89" i="2" s="1"/>
  <c r="F119" i="2"/>
  <c r="J77" i="2"/>
  <c r="T26" i="2"/>
  <c r="T55" i="2"/>
  <c r="T66" i="2" s="1"/>
  <c r="T27" i="2"/>
  <c r="T28" i="2"/>
  <c r="T29" i="2"/>
  <c r="T31" i="2"/>
  <c r="R69" i="2" l="1"/>
  <c r="I74" i="2"/>
  <c r="V108" i="2"/>
  <c r="O80" i="2"/>
  <c r="O84" i="2" s="1"/>
  <c r="U29" i="2"/>
  <c r="V30" i="2" s="1"/>
  <c r="Q83" i="2" s="1"/>
  <c r="U26" i="2"/>
  <c r="U51" i="2" s="1"/>
  <c r="T53" i="2"/>
  <c r="U28" i="2"/>
  <c r="U27" i="2"/>
  <c r="U30" i="2"/>
  <c r="P83" i="2" s="1"/>
  <c r="T54" i="2"/>
  <c r="K58" i="2"/>
  <c r="T52" i="2"/>
  <c r="T51" i="2"/>
  <c r="T62" i="2" l="1"/>
  <c r="T65" i="2"/>
  <c r="T64" i="2"/>
  <c r="U62" i="2"/>
  <c r="T63" i="2"/>
  <c r="T57" i="2"/>
  <c r="V37" i="2"/>
  <c r="V38" i="2" s="1"/>
  <c r="V73" i="2" s="1"/>
  <c r="Q82" i="2"/>
  <c r="U37" i="2"/>
  <c r="U38" i="2" s="1"/>
  <c r="U73" i="2" s="1"/>
  <c r="P82" i="2"/>
  <c r="V110" i="2"/>
  <c r="I77" i="2"/>
  <c r="O86" i="2"/>
  <c r="V29" i="2"/>
  <c r="V54" i="2" s="1"/>
  <c r="U54" i="2"/>
  <c r="V26" i="2"/>
  <c r="V51" i="2" s="1"/>
  <c r="V62" i="2" s="1"/>
  <c r="V28" i="2"/>
  <c r="V53" i="2" s="1"/>
  <c r="U53" i="2"/>
  <c r="V65" i="2" s="1"/>
  <c r="U55" i="2"/>
  <c r="U66" i="2" s="1"/>
  <c r="U31" i="2"/>
  <c r="V31" i="2" s="1"/>
  <c r="K68" i="2"/>
  <c r="K69" i="2" s="1"/>
  <c r="K72" i="2" s="1"/>
  <c r="K74" i="2" s="1"/>
  <c r="V27" i="2"/>
  <c r="V52" i="2" s="1"/>
  <c r="V63" i="2" s="1"/>
  <c r="U52" i="2"/>
  <c r="V55" i="2"/>
  <c r="V64" i="2" l="1"/>
  <c r="U63" i="2"/>
  <c r="V66" i="2"/>
  <c r="U65" i="2"/>
  <c r="U64" i="2"/>
  <c r="U80" i="2"/>
  <c r="U84" i="2" s="1"/>
  <c r="U86" i="2" s="1"/>
  <c r="V57" i="2"/>
  <c r="U57" i="2"/>
  <c r="T80" i="2"/>
  <c r="T84" i="2" s="1"/>
  <c r="S80" i="2"/>
  <c r="S84" i="2" s="1"/>
  <c r="R80" i="2"/>
  <c r="R84" i="2" s="1"/>
  <c r="Q80" i="2"/>
  <c r="Q84" i="2" s="1"/>
  <c r="P80" i="2"/>
  <c r="P84" i="2" s="1"/>
  <c r="K77" i="2"/>
  <c r="Q86" i="2" l="1"/>
  <c r="P86" i="2"/>
  <c r="S86" i="2"/>
  <c r="T86" i="2"/>
  <c r="R86" i="2"/>
  <c r="L58" i="2"/>
  <c r="B50" i="2"/>
  <c r="O90" i="2" s="1"/>
  <c r="L68" i="2" l="1"/>
  <c r="L69" i="2" s="1"/>
  <c r="L72" i="2" s="1"/>
  <c r="L74" i="2" s="1"/>
  <c r="B51" i="2"/>
  <c r="O91" i="2" s="1"/>
  <c r="L77" i="2" l="1"/>
  <c r="B52" i="2"/>
  <c r="O92" i="2" s="1"/>
  <c r="M58" i="2" l="1"/>
  <c r="B53" i="2"/>
  <c r="O93" i="2" s="1"/>
  <c r="M68" i="2" l="1"/>
  <c r="M69" i="2" s="1"/>
  <c r="M72" i="2" s="1"/>
  <c r="M74" i="2" s="1"/>
  <c r="B54" i="2"/>
  <c r="O94" i="2" s="1"/>
  <c r="M77" i="2" l="1"/>
  <c r="B55" i="2"/>
  <c r="B56" i="2" s="1"/>
  <c r="B57" i="2" l="1"/>
  <c r="O96" i="2"/>
  <c r="O95" i="2"/>
  <c r="N58" i="2"/>
  <c r="B58" i="2" l="1"/>
  <c r="O97" i="2"/>
  <c r="N68" i="2"/>
  <c r="N69" i="2" s="1"/>
  <c r="N72" i="2" s="1"/>
  <c r="N74" i="2" s="1"/>
  <c r="B61" i="2" l="1"/>
  <c r="O99" i="2" s="1"/>
  <c r="O98" i="2"/>
  <c r="N77" i="2"/>
  <c r="O58" i="2" l="1"/>
  <c r="O68" i="2" l="1"/>
  <c r="O69" i="2" s="1"/>
  <c r="O72" i="2" s="1"/>
  <c r="O74" i="2" s="1"/>
  <c r="B62" i="2"/>
  <c r="O100" i="2" s="1"/>
  <c r="O77" i="2" l="1"/>
  <c r="B63" i="2"/>
  <c r="O101" i="2" s="1"/>
  <c r="P58" i="2" l="1"/>
  <c r="B64" i="2"/>
  <c r="O102" i="2" s="1"/>
  <c r="P68" i="2" l="1"/>
  <c r="P69" i="2" s="1"/>
  <c r="P72" i="2" s="1"/>
  <c r="P74" i="2" s="1"/>
  <c r="B65" i="2"/>
  <c r="O103" i="2" s="1"/>
  <c r="P77" i="2" l="1"/>
  <c r="B66" i="2"/>
  <c r="B67" i="2" s="1"/>
  <c r="B68" i="2" s="1"/>
  <c r="O104" i="2" l="1"/>
  <c r="Q58" i="2"/>
  <c r="B69" i="2" l="1"/>
  <c r="O107" i="2" s="1"/>
  <c r="O106" i="2"/>
  <c r="Q68" i="2"/>
  <c r="Q69" i="2" s="1"/>
  <c r="Q72" i="2" s="1"/>
  <c r="Q74" i="2" s="1"/>
  <c r="Q77" i="2" l="1"/>
  <c r="B72" i="2"/>
  <c r="B73" i="2" l="1"/>
  <c r="O109" i="2" s="1"/>
  <c r="O108" i="2"/>
  <c r="R58" i="2"/>
  <c r="R72" i="2" l="1"/>
  <c r="R74" i="2" s="1"/>
  <c r="R77" i="2" l="1"/>
  <c r="B74" i="2" l="1"/>
  <c r="S58" i="2"/>
  <c r="B76" i="2" l="1"/>
  <c r="O111" i="2" s="1"/>
  <c r="O110" i="2"/>
  <c r="S68" i="2"/>
  <c r="S69" i="2" s="1"/>
  <c r="S72" i="2" s="1"/>
  <c r="S74" i="2" s="1"/>
  <c r="B77" i="2" l="1"/>
  <c r="O112" i="2" s="1"/>
  <c r="S77" i="2"/>
  <c r="B80" i="2" l="1"/>
  <c r="T58" i="2"/>
  <c r="O113" i="2" l="1"/>
  <c r="B81" i="2"/>
  <c r="B82" i="2" s="1"/>
  <c r="B83" i="2" s="1"/>
  <c r="T68" i="2"/>
  <c r="T69" i="2" s="1"/>
  <c r="T72" i="2" s="1"/>
  <c r="T74" i="2" s="1"/>
  <c r="C84" i="2" l="1"/>
  <c r="B84" i="2"/>
  <c r="O116" i="2"/>
  <c r="O114" i="2"/>
  <c r="T77" i="2"/>
  <c r="B85" i="2" l="1"/>
  <c r="O117" i="2"/>
  <c r="O115" i="2"/>
  <c r="U58" i="2"/>
  <c r="B86" i="2" l="1"/>
  <c r="O119" i="2" s="1"/>
  <c r="O118" i="2"/>
  <c r="U68" i="2"/>
  <c r="U69" i="2" s="1"/>
  <c r="U72" i="2" s="1"/>
  <c r="U74" i="2" s="1"/>
  <c r="C86" i="2" l="1"/>
  <c r="U77" i="2"/>
  <c r="V68" i="2" l="1"/>
  <c r="V69" i="2" s="1"/>
  <c r="V72" i="2" s="1"/>
  <c r="V74" i="2" s="1"/>
  <c r="V58" i="2"/>
  <c r="V77" i="2" l="1"/>
</calcChain>
</file>

<file path=xl/sharedStrings.xml><?xml version="1.0" encoding="utf-8"?>
<sst xmlns="http://schemas.openxmlformats.org/spreadsheetml/2006/main" count="356" uniqueCount="113">
  <si>
    <t>Contract Price ($/MWh)</t>
  </si>
  <si>
    <t>Minimum Production (MWh)</t>
  </si>
  <si>
    <t>Guaranteed Output (MWh)</t>
  </si>
  <si>
    <t>Generation Allocation (MWh)</t>
  </si>
  <si>
    <t>Surplus</t>
  </si>
  <si>
    <t>Current Year</t>
  </si>
  <si>
    <t>Annual Surplus</t>
  </si>
  <si>
    <t>Units</t>
  </si>
  <si>
    <t>$/MWh</t>
  </si>
  <si>
    <t>MWh</t>
  </si>
  <si>
    <t>$</t>
  </si>
  <si>
    <t>MWH</t>
  </si>
  <si>
    <t>Incremental Price</t>
  </si>
  <si>
    <t>SHORTFALL DAMAGES:</t>
  </si>
  <si>
    <t>DEFICIENCY MAKEUP:</t>
  </si>
  <si>
    <t>%</t>
  </si>
  <si>
    <t>Contract Year Month</t>
  </si>
  <si>
    <t>CONTRACT YEAR:</t>
  </si>
  <si>
    <t>Surplus Production</t>
  </si>
  <si>
    <t>Actual Production</t>
  </si>
  <si>
    <t>Invoice Amount</t>
  </si>
  <si>
    <t>Contract Year Ending:</t>
  </si>
  <si>
    <t xml:space="preserve">Shortfall Damages - Production &lt;90% </t>
  </si>
  <si>
    <t>ANNUAL SUMMARY</t>
  </si>
  <si>
    <t>Annual Invoice Total</t>
  </si>
  <si>
    <t>CREDIT/(DEBIT) Adjustment to Next Invoice:</t>
  </si>
  <si>
    <t>Contract Price</t>
  </si>
  <si>
    <t>Surplus Rate (After Deficit Allotment)</t>
  </si>
  <si>
    <t>Production Factor</t>
  </si>
  <si>
    <t>Modeled Expected Production</t>
  </si>
  <si>
    <t>Modeled Historical Production</t>
  </si>
  <si>
    <t>Annual Minimum Production Balance Owed</t>
  </si>
  <si>
    <t xml:space="preserve">All monthly invoices from Month 1 - Month 12 of each contract year will be paid based on total metered production and current contract year price. </t>
  </si>
  <si>
    <t xml:space="preserve"> Adjustments for surplus payments, shortfall damages, and loss revenue recovery  will be done on Month 1 of next contract year.</t>
  </si>
  <si>
    <t>Hypothetical Actual Production (Metered Data)</t>
  </si>
  <si>
    <t>Hypothetical modeled production based on current year's weather data</t>
  </si>
  <si>
    <t>Hypothetical modeled production based on historical average weather data</t>
  </si>
  <si>
    <t>Modeled Expected Production/Modeled Historical Production</t>
  </si>
  <si>
    <t>Current Year Minus 1</t>
  </si>
  <si>
    <t>Current Year Minus 2</t>
  </si>
  <si>
    <t>Current Year Minus 3</t>
  </si>
  <si>
    <t>Current Year Minus 4</t>
  </si>
  <si>
    <t xml:space="preserve">Rolling Deficiency/(Surplus) (MWh) </t>
  </si>
  <si>
    <t>TOTAL Shortfall Damages</t>
  </si>
  <si>
    <t>Rolling deficiency at end of each contract year</t>
  </si>
  <si>
    <t>Current Year Minus 5</t>
  </si>
  <si>
    <t>Current LEAC Rate</t>
  </si>
  <si>
    <t>Minimum Production</t>
  </si>
  <si>
    <t>Bid Price; See Appendix A</t>
  </si>
  <si>
    <t>Hypothetical LEAC Rate at time of calculation</t>
  </si>
  <si>
    <t>If the Current LEAC Rate is less than the Contract Price, then $0, otherwise the LEAC Rate less the Contract Price</t>
  </si>
  <si>
    <t>Lesser of the Contract Price or current LEAC Rate</t>
  </si>
  <si>
    <t>Bid annual amount to be delivered; See Appendix A</t>
  </si>
  <si>
    <t>90% of Minimum Production, amount which must be delivered each year or Shortfall Damages paid; See Appendix A</t>
  </si>
  <si>
    <t>Adjusted Deficiency Amount x Incremental Price</t>
  </si>
  <si>
    <t>Production allowed to be curtailed each year by GPA without being subject to Lost Revenue Recovery = 2% of Minimum Production</t>
  </si>
  <si>
    <t>Dispatch Down Foregone Production</t>
  </si>
  <si>
    <t>Less Dispatch Down 2% Threshold</t>
  </si>
  <si>
    <t>Actual Production plus Excused Hours less Minimum Production</t>
  </si>
  <si>
    <t>Annual Allowable Dispatch Down Makeup Production</t>
  </si>
  <si>
    <t>Line #</t>
  </si>
  <si>
    <t>Blue Text</t>
  </si>
  <si>
    <t>Schedule III to Appendix K</t>
  </si>
  <si>
    <t>Guaranteed Output, 90% of Minimum Production</t>
  </si>
  <si>
    <t>Total Annual Production, Actual + Dispatched Down Lost Revenue</t>
  </si>
  <si>
    <t>Total Annual Production Less Minimum Production</t>
  </si>
  <si>
    <t>If Total Annual Production is greater than Minimum Production, Total Annual Production less Min. Production, otherwise 0 MWh.</t>
  </si>
  <si>
    <t>Recoverable Dispatch Down Lost Revenue Production</t>
  </si>
  <si>
    <t>Less Minimum Production</t>
  </si>
  <si>
    <t>Actual Deficiency Amount &lt;90%</t>
  </si>
  <si>
    <t>DISPATCH DOWN RECOVERY AND MAKEUP PRODUCTION</t>
  </si>
  <si>
    <t>Shortfall Damages - 5 Year Deficit Not Recovered, Adj. for Excused</t>
  </si>
  <si>
    <t>Production for Current Year Paid at Contract Price, Incl Future Yrs</t>
  </si>
  <si>
    <t>Prod. for Current Year Paid as Shortfall, &lt;90%</t>
  </si>
  <si>
    <t>Prod. for Current Year Paid as Shortfall, 5-Yr Deficit Not Recovered</t>
  </si>
  <si>
    <t xml:space="preserve">TOTAL Production Revenue </t>
  </si>
  <si>
    <t>PAYMENTS AND ADJUSTMENTS</t>
  </si>
  <si>
    <t>TOTAL Production</t>
  </si>
  <si>
    <t>Less TOTAL Shortfall Damages</t>
  </si>
  <si>
    <t>Green Text</t>
  </si>
  <si>
    <t>Highlighted cells are coming from the Contract Year tabs</t>
  </si>
  <si>
    <t>Production Above Minimum and Deficit Allotments</t>
  </si>
  <si>
    <t>Dispatched Down Lost Revenue Production, treated the same as actual production</t>
  </si>
  <si>
    <t>Actual plus Dispatched Down Lost Revenue Production</t>
  </si>
  <si>
    <t>Based on Guaranteed Output less Total Annual Production</t>
  </si>
  <si>
    <t>(Deficiency of Current Year Minus 5 Less Excused Hours Production) x Incremental Price for Current Year Minus 5</t>
  </si>
  <si>
    <t xml:space="preserve">Excused Hours Production, Incl. Dispatch Down Makeup </t>
  </si>
  <si>
    <t>Adjusted based on Production Factor and Excused Hours Production</t>
  </si>
  <si>
    <t>Total of Shortfalls for Production &lt;90% and 5 Year Deficits Not Recovered, Adjusted for Excused Production</t>
  </si>
  <si>
    <t>Hypothetical estimated production using actual weather data for those hours dispatched down</t>
  </si>
  <si>
    <t>Production that is eligible to be reimbursed that year = all production curtailed above 2% of Minimum Production</t>
  </si>
  <si>
    <t>Amount that can be carried forward as deficit and will be excused if not made up in 5 years.</t>
  </si>
  <si>
    <t>Difference between what should have been paid for the year versus actual monthly payments</t>
  </si>
  <si>
    <t>All production for the year paid at this year's contract price.</t>
  </si>
  <si>
    <t>All production for the year that was covered by shortfall damages for not meeting Guaranteed Output.</t>
  </si>
  <si>
    <t>Total of all components of Minimum Production assigned for current year</t>
  </si>
  <si>
    <t>Difference between Total of all components of Minimum Production and the bid annual amount.  This should equal zero.</t>
  </si>
  <si>
    <t>Highlighted cells are those to be updated by users as actual numbers are produced</t>
  </si>
  <si>
    <t>Annual Allowable Carry Forward Deficit, includes Excused</t>
  </si>
  <si>
    <t>Note:</t>
  </si>
  <si>
    <t>-</t>
  </si>
  <si>
    <t>PRICES, RATES, AND PRODUCTION:</t>
  </si>
  <si>
    <t>Production Revenue ($)</t>
  </si>
  <si>
    <t>All production for the year that was covered by shortfall damages for not meeting the Minimum Production in 5 years time.  This excludes Excused Hours Production.</t>
  </si>
  <si>
    <t>Excused Hour Production Not Made Up in Five Years</t>
  </si>
  <si>
    <t>Seller can choose when to apply this Dispatch Down Makeup Production that was part of its Minimum Production. Must be recovered in a year or over several years where there is Production Above Minimum + Deficit Allotments</t>
  </si>
  <si>
    <r>
      <t xml:space="preserve">Up to 10% of Min. Prod. + Production Excused for Weather Hours. Carries forward Excused Hours Production as a Deficit, but this production will </t>
    </r>
    <r>
      <rPr>
        <u/>
        <sz val="11"/>
        <color theme="1"/>
        <rFont val="Calibri"/>
        <family val="2"/>
        <scheme val="minor"/>
      </rPr>
      <t>not</t>
    </r>
    <r>
      <rPr>
        <sz val="11"/>
        <color theme="1"/>
        <rFont val="Calibri"/>
        <family val="2"/>
        <scheme val="minor"/>
      </rPr>
      <t xml:space="preserve"> be subject to shortfall damages if not made up in 5 years. If Total Annual Production is less than the Guaranteed Production, 10% of Minimum, otherwise, if Total Annual Production is less than the Minimum, the difference between Actual and Minimum, otherwise 0 MWh.</t>
    </r>
  </si>
  <si>
    <t>CHECK MINIMUM PRODUCTION</t>
  </si>
  <si>
    <t>Annual Total of Monthly Invoice Payments</t>
  </si>
  <si>
    <t>Adjusted Deficiency Amount &lt;90%, Decreased for Weather Hours and Excused</t>
  </si>
  <si>
    <t>These calculations are for example purposes only and are subject to the actual terms of the Renewable Energy Purchase Agreement, including the related Appendices.  If there is any inconsistency between these example calculations and such terms, such terms shall control.</t>
  </si>
  <si>
    <t>This accounts for Rolling Deficiency Production that was not recovered within 5 years that is considered Excused Hours Production, Including Dispatch Down Makeup Production.  Seller can recover payment for Dispatch Down Makeup Production, as it is part of the Minimum Production, in any future year(s) where there is positive Production Above Minimum + Deficit Allotments at the then current year's contract price. If Seller has already fully recovered this line item as Dispatch Down Makeup Production within the first five years, any remaining amount shown in this line item may be recovered in future years at the Surplus Rate.</t>
  </si>
  <si>
    <t>Production for Current Year Not Made Up in 5 Years but Excused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</si>
</sst>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0.000"/>
    <numFmt numFmtId="165"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0000FF"/>
      <name val="Calibri"/>
      <family val="2"/>
      <scheme val="minor"/>
    </font>
    <font>
      <b/>
      <u/>
      <sz val="11"/>
      <color theme="1"/>
      <name val="Calibri"/>
      <family val="2"/>
      <scheme val="minor"/>
    </font>
    <font>
      <b/>
      <sz val="11"/>
      <name val="Calibri"/>
      <family val="2"/>
      <scheme val="minor"/>
    </font>
    <font>
      <sz val="11"/>
      <color rgb="FF0000CC"/>
      <name val="Calibri"/>
      <family val="2"/>
      <scheme val="minor"/>
    </font>
    <font>
      <i/>
      <sz val="11"/>
      <color theme="1"/>
      <name val="Calibri"/>
      <family val="2"/>
      <scheme val="minor"/>
    </font>
    <font>
      <u/>
      <sz val="11"/>
      <color theme="1"/>
      <name val="Calibri"/>
      <family val="2"/>
      <scheme val="minor"/>
    </font>
    <font>
      <sz val="11"/>
      <color theme="6" tint="-0.249977111117893"/>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6" tint="0.59999389629810485"/>
        <bgColor indexed="64"/>
      </patternFill>
    </fill>
  </fills>
  <borders count="5">
    <border>
      <left/>
      <right/>
      <top/>
      <bottom/>
      <diagonal/>
    </border>
    <border>
      <left/>
      <right style="thin">
        <color theme="0"/>
      </right>
      <top/>
      <bottom/>
      <diagonal/>
    </border>
    <border>
      <left style="thin">
        <color theme="0"/>
      </left>
      <right style="thin">
        <color theme="0"/>
      </right>
      <top/>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164" fontId="0" fillId="0" borderId="0" xfId="0" applyNumberFormat="1" applyBorder="1" applyAlignment="1">
      <alignment horizontal="left"/>
    </xf>
    <xf numFmtId="0" fontId="0" fillId="0" borderId="0" xfId="0"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1" fontId="4" fillId="0" borderId="0" xfId="1" applyNumberFormat="1" applyFont="1" applyFill="1" applyBorder="1" applyAlignment="1">
      <alignment horizontal="right"/>
    </xf>
    <xf numFmtId="44" fontId="0" fillId="0" borderId="0" xfId="0" applyNumberFormat="1" applyBorder="1" applyAlignment="1">
      <alignment horizontal="center"/>
    </xf>
    <xf numFmtId="9" fontId="5" fillId="0" borderId="0" xfId="2" applyFont="1" applyBorder="1" applyAlignment="1">
      <alignment horizontal="center"/>
    </xf>
    <xf numFmtId="5" fontId="0" fillId="0" borderId="0" xfId="0" applyNumberFormat="1" applyFont="1" applyBorder="1" applyAlignment="1">
      <alignment horizontal="center"/>
    </xf>
    <xf numFmtId="164" fontId="0" fillId="0" borderId="0" xfId="0" applyNumberFormat="1" applyBorder="1" applyAlignment="1">
      <alignment horizontal="center"/>
    </xf>
    <xf numFmtId="0" fontId="0" fillId="0" borderId="0" xfId="0" applyAlignment="1">
      <alignment horizontal="right"/>
    </xf>
    <xf numFmtId="164" fontId="0" fillId="0" borderId="0" xfId="0" applyNumberFormat="1" applyFill="1" applyBorder="1" applyAlignment="1">
      <alignment horizontal="left"/>
    </xf>
    <xf numFmtId="1" fontId="0" fillId="0" borderId="0" xfId="0" applyNumberFormat="1" applyFill="1" applyBorder="1" applyAlignment="1">
      <alignment horizontal="right"/>
    </xf>
    <xf numFmtId="0" fontId="0" fillId="0" borderId="0" xfId="0" applyFill="1" applyBorder="1" applyAlignment="1">
      <alignment horizontal="center"/>
    </xf>
    <xf numFmtId="0" fontId="0" fillId="0" borderId="0" xfId="0" applyFill="1"/>
    <xf numFmtId="0" fontId="3" fillId="0" borderId="0" xfId="0" applyFont="1"/>
    <xf numFmtId="43" fontId="0" fillId="0" borderId="0" xfId="1" applyFont="1" applyBorder="1" applyAlignment="1">
      <alignment horizontal="center"/>
    </xf>
    <xf numFmtId="0" fontId="0" fillId="0" borderId="0" xfId="0" applyBorder="1" applyAlignment="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xf numFmtId="0" fontId="0" fillId="4" borderId="0" xfId="0" applyFill="1" applyAlignment="1">
      <alignment horizontal="right"/>
    </xf>
    <xf numFmtId="0" fontId="0" fillId="4" borderId="0" xfId="0" applyFill="1" applyAlignment="1">
      <alignment horizontal="center"/>
    </xf>
    <xf numFmtId="0" fontId="2" fillId="0" borderId="0" xfId="0" applyFont="1" applyFill="1" applyBorder="1" applyAlignment="1">
      <alignment horizontal="center"/>
    </xf>
    <xf numFmtId="44" fontId="0" fillId="0" borderId="0" xfId="0" applyNumberFormat="1" applyFont="1" applyFill="1" applyBorder="1"/>
    <xf numFmtId="44" fontId="0" fillId="0" borderId="0" xfId="0" applyNumberFormat="1" applyFont="1" applyFill="1" applyBorder="1" applyAlignment="1"/>
    <xf numFmtId="0" fontId="0" fillId="0" borderId="0" xfId="0" applyFill="1" applyAlignment="1">
      <alignment horizontal="center"/>
    </xf>
    <xf numFmtId="164" fontId="0" fillId="0" borderId="0" xfId="0" applyNumberFormat="1" applyFill="1" applyBorder="1" applyAlignment="1">
      <alignment horizontal="center"/>
    </xf>
    <xf numFmtId="44" fontId="0" fillId="0" borderId="0" xfId="0" applyNumberFormat="1" applyFont="1" applyFill="1" applyBorder="1" applyAlignment="1">
      <alignment horizontal="center"/>
    </xf>
    <xf numFmtId="1" fontId="7" fillId="0" borderId="0" xfId="1" applyNumberFormat="1" applyFont="1" applyFill="1" applyBorder="1" applyAlignment="1">
      <alignment horizontal="right"/>
    </xf>
    <xf numFmtId="0" fontId="3" fillId="0" borderId="0" xfId="0" applyFont="1" applyBorder="1" applyAlignment="1">
      <alignment horizontal="center"/>
    </xf>
    <xf numFmtId="0" fontId="3" fillId="0" borderId="0" xfId="0" applyFont="1" applyFill="1"/>
    <xf numFmtId="164" fontId="0" fillId="0" borderId="0" xfId="0" applyNumberFormat="1" applyFont="1" applyFill="1" applyBorder="1" applyAlignment="1">
      <alignment horizontal="center"/>
    </xf>
    <xf numFmtId="0" fontId="0" fillId="0" borderId="0" xfId="0" applyFill="1" applyAlignment="1">
      <alignment horizontal="right"/>
    </xf>
    <xf numFmtId="0" fontId="3" fillId="0" borderId="0" xfId="0" applyFont="1" applyFill="1" applyBorder="1"/>
    <xf numFmtId="0" fontId="3"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center"/>
    </xf>
    <xf numFmtId="165" fontId="0" fillId="0" borderId="0" xfId="1" applyNumberFormat="1" applyFont="1" applyFill="1" applyBorder="1" applyAlignment="1">
      <alignment horizontal="center"/>
    </xf>
    <xf numFmtId="165" fontId="4" fillId="0" borderId="0" xfId="1" applyNumberFormat="1" applyFont="1" applyBorder="1" applyAlignment="1">
      <alignment horizontal="center"/>
    </xf>
    <xf numFmtId="165" fontId="0" fillId="0" borderId="0" xfId="1" applyNumberFormat="1" applyFont="1" applyAlignment="1">
      <alignment horizontal="right"/>
    </xf>
    <xf numFmtId="165" fontId="5" fillId="0" borderId="0" xfId="1" applyNumberFormat="1" applyFont="1" applyBorder="1" applyAlignment="1">
      <alignment horizontal="center"/>
    </xf>
    <xf numFmtId="165" fontId="0" fillId="0" borderId="0" xfId="1" applyNumberFormat="1" applyFont="1"/>
    <xf numFmtId="165" fontId="5" fillId="0" borderId="0" xfId="1" applyNumberFormat="1" applyFont="1" applyBorder="1" applyAlignment="1">
      <alignment horizontal="right"/>
    </xf>
    <xf numFmtId="165" fontId="0" fillId="0" borderId="0" xfId="1" applyNumberFormat="1" applyFont="1" applyBorder="1" applyAlignment="1">
      <alignment horizontal="center"/>
    </xf>
    <xf numFmtId="165" fontId="8" fillId="6" borderId="0" xfId="1" applyNumberFormat="1" applyFont="1" applyFill="1" applyBorder="1" applyAlignment="1">
      <alignment horizontal="center"/>
    </xf>
    <xf numFmtId="165" fontId="0" fillId="7" borderId="0" xfId="1" applyNumberFormat="1" applyFont="1" applyFill="1"/>
    <xf numFmtId="165" fontId="1" fillId="0" borderId="0" xfId="1" applyNumberFormat="1" applyFont="1" applyFill="1" applyBorder="1" applyAlignment="1">
      <alignment horizontal="center"/>
    </xf>
    <xf numFmtId="165" fontId="0" fillId="7" borderId="0" xfId="1" applyNumberFormat="1" applyFont="1" applyFill="1" applyBorder="1" applyAlignment="1">
      <alignment horizontal="center"/>
    </xf>
    <xf numFmtId="165" fontId="0" fillId="0" borderId="0" xfId="1" applyNumberFormat="1" applyFont="1" applyBorder="1" applyAlignment="1"/>
    <xf numFmtId="165" fontId="3" fillId="0" borderId="0" xfId="1" applyNumberFormat="1" applyFont="1" applyBorder="1" applyAlignment="1"/>
    <xf numFmtId="165" fontId="4" fillId="0" borderId="0" xfId="1" applyNumberFormat="1" applyFont="1" applyFill="1" applyBorder="1" applyAlignment="1">
      <alignment horizontal="center"/>
    </xf>
    <xf numFmtId="165" fontId="0" fillId="5" borderId="0" xfId="1" applyNumberFormat="1" applyFont="1" applyFill="1" applyBorder="1" applyAlignment="1">
      <alignment horizontal="center"/>
    </xf>
    <xf numFmtId="165" fontId="4" fillId="5" borderId="0" xfId="1" applyNumberFormat="1" applyFont="1" applyFill="1" applyBorder="1" applyAlignment="1">
      <alignment horizontal="center"/>
    </xf>
    <xf numFmtId="165" fontId="1" fillId="5" borderId="0" xfId="1" applyNumberFormat="1" applyFont="1" applyFill="1" applyBorder="1" applyAlignment="1">
      <alignment horizontal="center"/>
    </xf>
    <xf numFmtId="164" fontId="0" fillId="0" borderId="0" xfId="0" applyNumberFormat="1" applyFill="1" applyBorder="1" applyAlignment="1">
      <alignment horizontal="left" indent="1"/>
    </xf>
    <xf numFmtId="165" fontId="4" fillId="3" borderId="0" xfId="1" applyNumberFormat="1" applyFont="1" applyFill="1" applyBorder="1" applyAlignment="1">
      <alignment horizontal="center"/>
    </xf>
    <xf numFmtId="165" fontId="0" fillId="3" borderId="0" xfId="1" applyNumberFormat="1" applyFont="1" applyFill="1" applyBorder="1" applyAlignment="1">
      <alignment horizontal="center"/>
    </xf>
    <xf numFmtId="43" fontId="0" fillId="0" borderId="0" xfId="1" applyNumberFormat="1" applyFont="1" applyBorder="1" applyAlignment="1">
      <alignment horizontal="center"/>
    </xf>
    <xf numFmtId="43" fontId="8" fillId="6" borderId="0" xfId="1" applyNumberFormat="1" applyFont="1" applyFill="1" applyBorder="1" applyAlignment="1">
      <alignment horizontal="center"/>
    </xf>
    <xf numFmtId="43" fontId="0" fillId="0" borderId="0" xfId="1" applyNumberFormat="1" applyFont="1" applyFill="1" applyBorder="1" applyAlignment="1">
      <alignment horizontal="center"/>
    </xf>
    <xf numFmtId="43" fontId="0" fillId="7" borderId="0" xfId="1" applyNumberFormat="1" applyFont="1" applyFill="1" applyBorder="1" applyAlignment="1">
      <alignment horizontal="center"/>
    </xf>
    <xf numFmtId="43" fontId="0" fillId="0" borderId="3" xfId="1" applyNumberFormat="1" applyFont="1" applyBorder="1" applyAlignment="1">
      <alignment horizontal="center"/>
    </xf>
    <xf numFmtId="0" fontId="0" fillId="0" borderId="0" xfId="0" applyAlignment="1">
      <alignment horizontal="left" wrapText="1"/>
    </xf>
    <xf numFmtId="165" fontId="1" fillId="0" borderId="0" xfId="1" applyNumberFormat="1" applyFont="1" applyFill="1" applyBorder="1" applyAlignment="1">
      <alignment horizontal="right"/>
    </xf>
    <xf numFmtId="165" fontId="8" fillId="6" borderId="0" xfId="1" applyNumberFormat="1" applyFont="1" applyFill="1" applyBorder="1" applyAlignment="1">
      <alignment horizontal="right"/>
    </xf>
    <xf numFmtId="0" fontId="0" fillId="0" borderId="0" xfId="0" quotePrefix="1" applyBorder="1" applyAlignment="1">
      <alignment horizontal="left"/>
    </xf>
    <xf numFmtId="0" fontId="0" fillId="0" borderId="0" xfId="0" applyAlignment="1">
      <alignment vertical="top"/>
    </xf>
    <xf numFmtId="0" fontId="0" fillId="0" borderId="0" xfId="0" applyAlignment="1">
      <alignment horizontal="left" vertical="top" wrapText="1"/>
    </xf>
    <xf numFmtId="0" fontId="0" fillId="0" borderId="0" xfId="0" applyNumberFormat="1" applyFont="1" applyFill="1" applyBorder="1" applyAlignment="1">
      <alignment horizontal="left" vertical="top" wrapText="1"/>
    </xf>
    <xf numFmtId="44" fontId="0" fillId="0" borderId="0" xfId="0" applyNumberFormat="1" applyFill="1" applyBorder="1" applyAlignment="1">
      <alignment horizontal="center"/>
    </xf>
    <xf numFmtId="1" fontId="0" fillId="0" borderId="0" xfId="0" applyNumberFormat="1" applyFill="1" applyBorder="1" applyAlignment="1">
      <alignment horizontal="left" indent="1"/>
    </xf>
    <xf numFmtId="0" fontId="0" fillId="0" borderId="0" xfId="0" applyFont="1" applyFill="1" applyBorder="1" applyAlignment="1">
      <alignment horizontal="center"/>
    </xf>
    <xf numFmtId="0" fontId="0" fillId="0" borderId="0" xfId="0" applyFill="1" applyAlignment="1">
      <alignment vertical="top"/>
    </xf>
    <xf numFmtId="165" fontId="0" fillId="0" borderId="0" xfId="0" applyNumberFormat="1"/>
    <xf numFmtId="0" fontId="8" fillId="6" borderId="0" xfId="0" applyFont="1" applyFill="1"/>
    <xf numFmtId="0" fontId="8" fillId="6" borderId="0" xfId="0" applyFont="1" applyFill="1" applyAlignment="1">
      <alignment horizontal="right"/>
    </xf>
    <xf numFmtId="0" fontId="6" fillId="0" borderId="0" xfId="0" applyFont="1"/>
    <xf numFmtId="10" fontId="4" fillId="0" borderId="0" xfId="2" applyNumberFormat="1" applyFont="1" applyFill="1" applyBorder="1" applyAlignment="1">
      <alignment horizontal="right"/>
    </xf>
    <xf numFmtId="165" fontId="4" fillId="0" borderId="0" xfId="2" applyNumberFormat="1" applyFont="1" applyFill="1" applyBorder="1" applyAlignment="1">
      <alignment horizontal="right"/>
    </xf>
    <xf numFmtId="165" fontId="0" fillId="7" borderId="4" xfId="1" applyNumberFormat="1" applyFont="1" applyFill="1" applyBorder="1" applyAlignment="1">
      <alignment horizontal="center"/>
    </xf>
    <xf numFmtId="43" fontId="0" fillId="0" borderId="4" xfId="1" applyNumberFormat="1" applyFont="1" applyBorder="1" applyAlignment="1">
      <alignment horizontal="center"/>
    </xf>
    <xf numFmtId="0" fontId="6" fillId="0" borderId="0" xfId="0" applyFont="1" applyFill="1" applyBorder="1" applyAlignment="1">
      <alignment horizontal="left" indent="3"/>
    </xf>
    <xf numFmtId="43" fontId="0" fillId="0" borderId="4" xfId="1" applyNumberFormat="1" applyFont="1" applyFill="1" applyBorder="1" applyAlignment="1">
      <alignment horizontal="center"/>
    </xf>
    <xf numFmtId="165" fontId="0" fillId="0" borderId="4" xfId="1" applyNumberFormat="1" applyFont="1" applyBorder="1" applyAlignment="1">
      <alignment horizontal="center"/>
    </xf>
    <xf numFmtId="0" fontId="9" fillId="0" borderId="0" xfId="0" applyFont="1" applyFill="1"/>
    <xf numFmtId="1" fontId="4" fillId="0" borderId="0" xfId="1" applyNumberFormat="1" applyFont="1" applyFill="1" applyBorder="1" applyAlignment="1">
      <alignment horizontal="right" vertical="top"/>
    </xf>
    <xf numFmtId="0" fontId="0" fillId="0" borderId="0" xfId="0" applyAlignment="1">
      <alignment horizontal="left"/>
    </xf>
    <xf numFmtId="0" fontId="0" fillId="0" borderId="0" xfId="0" applyFill="1" applyBorder="1" applyAlignment="1">
      <alignment horizontal="left"/>
    </xf>
    <xf numFmtId="0" fontId="0" fillId="0" borderId="0" xfId="0" applyBorder="1"/>
    <xf numFmtId="164" fontId="0" fillId="0" borderId="0" xfId="0" applyNumberFormat="1" applyFont="1" applyFill="1" applyBorder="1" applyAlignment="1">
      <alignment horizontal="left" indent="1"/>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165" fontId="11" fillId="8" borderId="0" xfId="1" applyNumberFormat="1" applyFont="1" applyFill="1" applyBorder="1" applyAlignment="1">
      <alignment horizontal="center"/>
    </xf>
    <xf numFmtId="0" fontId="11" fillId="8" borderId="0" xfId="0" applyFont="1" applyFill="1"/>
    <xf numFmtId="0" fontId="11" fillId="8" borderId="0" xfId="0" applyFont="1" applyFill="1" applyAlignment="1">
      <alignment horizontal="right"/>
    </xf>
  </cellXfs>
  <cellStyles count="3">
    <cellStyle name="Comma" xfId="1" builtinId="3"/>
    <cellStyle name="Normal" xfId="0" builtinId="0"/>
    <cellStyle name="Percent" xfId="2" builtinId="5"/>
  </cellStyles>
  <dxfs count="1">
    <dxf>
      <font>
        <b/>
        <i val="0"/>
        <color rgb="FFFF0000"/>
      </font>
    </dxf>
  </dxfs>
  <tableStyles count="0" defaultTableStyle="TableStyleMedium2" defaultPivotStyle="PivotStyleLight16"/>
  <colors>
    <mruColors>
      <color rgb="FF0000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7"/>
  <sheetViews>
    <sheetView showGridLines="0" tabSelected="1" zoomScaleNormal="100" zoomScaleSheetLayoutView="70" workbookViewId="0">
      <pane xSplit="5" ySplit="5" topLeftCell="F6" activePane="bottomRight" state="frozen"/>
      <selection pane="topRight" activeCell="F1" sqref="F1"/>
      <selection pane="bottomLeft" activeCell="A6" sqref="A6"/>
      <selection pane="bottomRight" activeCell="A8" sqref="A8"/>
    </sheetView>
  </sheetViews>
  <sheetFormatPr defaultRowHeight="14.4" x14ac:dyDescent="0.3"/>
  <cols>
    <col min="1" max="1" width="5.109375" customWidth="1"/>
    <col min="2" max="2" width="5.109375" style="33" bestFit="1" customWidth="1"/>
    <col min="3" max="3" width="65.109375" style="14" customWidth="1"/>
    <col min="4" max="4" width="8.44140625" style="26" bestFit="1" customWidth="1"/>
    <col min="5" max="5" width="5.88671875" bestFit="1" customWidth="1"/>
    <col min="6" max="6" width="22.44140625" bestFit="1" customWidth="1"/>
    <col min="7" max="9" width="15.44140625" bestFit="1" customWidth="1"/>
    <col min="10" max="10" width="15" bestFit="1" customWidth="1"/>
    <col min="11" max="12" width="15.44140625" bestFit="1" customWidth="1"/>
    <col min="13" max="14" width="15" bestFit="1" customWidth="1"/>
    <col min="15" max="20" width="15.44140625" bestFit="1" customWidth="1"/>
    <col min="21" max="22" width="15" bestFit="1" customWidth="1"/>
    <col min="23" max="27" width="2.77734375" customWidth="1"/>
    <col min="28" max="28" width="124" style="63" customWidth="1"/>
    <col min="29" max="35" width="10.88671875" bestFit="1" customWidth="1"/>
  </cols>
  <sheetData>
    <row r="1" spans="1:35" ht="14.4" customHeight="1" x14ac:dyDescent="0.3">
      <c r="A1" s="77" t="s">
        <v>62</v>
      </c>
      <c r="E1" s="89"/>
      <c r="F1" s="92" t="s">
        <v>110</v>
      </c>
      <c r="G1" s="92"/>
      <c r="H1" s="92"/>
      <c r="I1" s="92"/>
      <c r="J1" s="92"/>
      <c r="K1" s="92"/>
      <c r="L1" s="92"/>
      <c r="M1" s="92"/>
      <c r="N1" s="92"/>
      <c r="AB1" s="87"/>
    </row>
    <row r="2" spans="1:35" x14ac:dyDescent="0.3">
      <c r="A2" s="75" t="s">
        <v>61</v>
      </c>
      <c r="B2" s="76"/>
      <c r="C2" s="85" t="s">
        <v>97</v>
      </c>
      <c r="E2" s="89"/>
      <c r="F2" s="92"/>
      <c r="G2" s="92"/>
      <c r="H2" s="92"/>
      <c r="I2" s="92"/>
      <c r="J2" s="92"/>
      <c r="K2" s="92"/>
      <c r="L2" s="92"/>
      <c r="M2" s="92"/>
      <c r="N2" s="92"/>
      <c r="AB2" s="87"/>
    </row>
    <row r="3" spans="1:35" x14ac:dyDescent="0.3">
      <c r="A3" s="94" t="s">
        <v>79</v>
      </c>
      <c r="B3" s="95"/>
      <c r="C3" s="85" t="s">
        <v>80</v>
      </c>
      <c r="AB3" s="87"/>
    </row>
    <row r="4" spans="1:35" x14ac:dyDescent="0.3">
      <c r="F4" s="1" t="s">
        <v>21</v>
      </c>
      <c r="AB4" s="87"/>
    </row>
    <row r="5" spans="1:35" x14ac:dyDescent="0.3">
      <c r="B5" s="12" t="s">
        <v>60</v>
      </c>
      <c r="D5" s="27" t="s">
        <v>7</v>
      </c>
      <c r="E5" s="2"/>
      <c r="F5" s="3">
        <v>1</v>
      </c>
      <c r="G5" s="4">
        <v>2</v>
      </c>
      <c r="H5" s="4">
        <v>3</v>
      </c>
      <c r="I5" s="4">
        <v>4</v>
      </c>
      <c r="J5" s="4">
        <v>5</v>
      </c>
      <c r="K5" s="4">
        <v>6</v>
      </c>
      <c r="L5" s="4">
        <v>7</v>
      </c>
      <c r="M5" s="4">
        <v>8</v>
      </c>
      <c r="N5" s="4">
        <v>9</v>
      </c>
      <c r="O5" s="4">
        <v>10</v>
      </c>
      <c r="P5" s="4">
        <v>11</v>
      </c>
      <c r="Q5" s="4">
        <v>12</v>
      </c>
      <c r="R5" s="4">
        <v>13</v>
      </c>
      <c r="S5" s="4">
        <v>14</v>
      </c>
      <c r="T5" s="4">
        <v>15</v>
      </c>
      <c r="U5" s="4">
        <v>16</v>
      </c>
      <c r="V5" s="4">
        <v>17</v>
      </c>
      <c r="AB5" s="17"/>
      <c r="AC5" s="2"/>
      <c r="AD5" s="2"/>
      <c r="AE5" s="2"/>
      <c r="AF5" s="2"/>
      <c r="AG5" s="2"/>
      <c r="AH5" s="2"/>
      <c r="AI5" s="2"/>
    </row>
    <row r="6" spans="1:35" s="14" customFormat="1" x14ac:dyDescent="0.3">
      <c r="A6" s="31" t="s">
        <v>101</v>
      </c>
      <c r="B6" s="12"/>
      <c r="C6" s="55"/>
      <c r="D6" s="27"/>
      <c r="E6" s="13"/>
      <c r="F6" s="23"/>
      <c r="G6" s="23"/>
      <c r="H6" s="23"/>
      <c r="I6" s="23"/>
      <c r="J6" s="23"/>
      <c r="K6" s="23"/>
      <c r="L6" s="23"/>
      <c r="M6" s="23"/>
      <c r="N6" s="23"/>
      <c r="O6" s="23"/>
      <c r="P6" s="23"/>
      <c r="Q6" s="23"/>
      <c r="R6" s="23"/>
      <c r="S6" s="23"/>
      <c r="T6" s="23"/>
      <c r="U6" s="23"/>
      <c r="V6" s="23"/>
      <c r="W6"/>
      <c r="X6"/>
      <c r="Y6"/>
      <c r="Z6"/>
      <c r="AA6"/>
      <c r="AB6" s="88"/>
      <c r="AC6" s="13"/>
      <c r="AD6" s="13"/>
      <c r="AE6" s="13"/>
      <c r="AF6" s="13"/>
      <c r="AG6" s="13"/>
      <c r="AH6" s="13"/>
      <c r="AI6" s="13"/>
    </row>
    <row r="7" spans="1:35" ht="15" customHeight="1" x14ac:dyDescent="0.3">
      <c r="B7" s="5">
        <v>1</v>
      </c>
      <c r="C7" s="55" t="s">
        <v>26</v>
      </c>
      <c r="D7" s="27" t="s">
        <v>8</v>
      </c>
      <c r="E7" s="6"/>
      <c r="F7" s="58">
        <v>196</v>
      </c>
      <c r="G7" s="58">
        <v>197</v>
      </c>
      <c r="H7" s="58">
        <v>198</v>
      </c>
      <c r="I7" s="58">
        <v>199</v>
      </c>
      <c r="J7" s="58">
        <v>199.9</v>
      </c>
      <c r="K7" s="58">
        <v>200.9</v>
      </c>
      <c r="L7" s="58">
        <v>201.9</v>
      </c>
      <c r="M7" s="58">
        <v>203</v>
      </c>
      <c r="N7" s="58">
        <v>204</v>
      </c>
      <c r="O7" s="58">
        <v>205</v>
      </c>
      <c r="P7" s="58">
        <v>206</v>
      </c>
      <c r="Q7" s="58">
        <v>207</v>
      </c>
      <c r="R7" s="58">
        <v>208.1</v>
      </c>
      <c r="S7" s="58">
        <v>209.1</v>
      </c>
      <c r="T7" s="58">
        <v>210.2</v>
      </c>
      <c r="U7" s="58">
        <v>211.2</v>
      </c>
      <c r="V7" s="58">
        <v>212.3</v>
      </c>
      <c r="AB7" s="66" t="s">
        <v>48</v>
      </c>
      <c r="AC7" s="2"/>
      <c r="AD7" s="2"/>
      <c r="AE7" s="2"/>
      <c r="AF7" s="2"/>
      <c r="AG7" s="2"/>
      <c r="AH7" s="2"/>
      <c r="AI7" s="2"/>
    </row>
    <row r="8" spans="1:35" ht="15" customHeight="1" x14ac:dyDescent="0.3">
      <c r="B8" s="5">
        <f>B7+1</f>
        <v>2</v>
      </c>
      <c r="C8" s="55" t="s">
        <v>46</v>
      </c>
      <c r="D8" s="27" t="s">
        <v>8</v>
      </c>
      <c r="E8" s="6"/>
      <c r="F8" s="59">
        <v>183.96</v>
      </c>
      <c r="G8" s="59">
        <v>182.91</v>
      </c>
      <c r="H8" s="59">
        <v>179</v>
      </c>
      <c r="I8" s="59">
        <v>200</v>
      </c>
      <c r="J8" s="59">
        <v>220</v>
      </c>
      <c r="K8" s="59">
        <v>205.33</v>
      </c>
      <c r="L8" s="59">
        <v>217.05</v>
      </c>
      <c r="M8" s="59">
        <v>226.18</v>
      </c>
      <c r="N8" s="59">
        <v>234.84</v>
      </c>
      <c r="O8" s="59">
        <v>241.38</v>
      </c>
      <c r="P8" s="59">
        <v>241.88</v>
      </c>
      <c r="Q8" s="59">
        <v>251.57</v>
      </c>
      <c r="R8" s="59">
        <v>257.22000000000003</v>
      </c>
      <c r="S8" s="59">
        <v>265.92</v>
      </c>
      <c r="T8" s="59">
        <v>274.47000000000003</v>
      </c>
      <c r="U8" s="59">
        <v>283.29000000000002</v>
      </c>
      <c r="V8" s="59">
        <v>291.64999999999998</v>
      </c>
      <c r="AB8" s="66" t="s">
        <v>49</v>
      </c>
      <c r="AC8" s="2"/>
      <c r="AD8" s="2"/>
      <c r="AE8" s="2"/>
      <c r="AF8" s="2"/>
      <c r="AG8" s="2"/>
      <c r="AH8" s="2"/>
      <c r="AI8" s="2"/>
    </row>
    <row r="9" spans="1:35" ht="15" customHeight="1" x14ac:dyDescent="0.3">
      <c r="B9" s="5">
        <f t="shared" ref="B9:B20" si="0">B8+1</f>
        <v>3</v>
      </c>
      <c r="C9" s="55" t="s">
        <v>12</v>
      </c>
      <c r="D9" s="27" t="s">
        <v>8</v>
      </c>
      <c r="E9" s="6"/>
      <c r="F9" s="58">
        <f>IF(F8&lt;F7,0,F8-F7)</f>
        <v>0</v>
      </c>
      <c r="G9" s="58">
        <f t="shared" ref="G9:U9" si="1">IF(G8&lt;G7,0,G8-G7)</f>
        <v>0</v>
      </c>
      <c r="H9" s="58">
        <f t="shared" si="1"/>
        <v>0</v>
      </c>
      <c r="I9" s="58">
        <f t="shared" si="1"/>
        <v>1</v>
      </c>
      <c r="J9" s="58">
        <f t="shared" si="1"/>
        <v>20.099999999999994</v>
      </c>
      <c r="K9" s="58">
        <f t="shared" si="1"/>
        <v>4.4300000000000068</v>
      </c>
      <c r="L9" s="58">
        <f t="shared" si="1"/>
        <v>15.150000000000006</v>
      </c>
      <c r="M9" s="58">
        <f t="shared" si="1"/>
        <v>23.180000000000007</v>
      </c>
      <c r="N9" s="58">
        <f t="shared" si="1"/>
        <v>30.840000000000003</v>
      </c>
      <c r="O9" s="58">
        <f t="shared" si="1"/>
        <v>36.379999999999995</v>
      </c>
      <c r="P9" s="58">
        <f t="shared" si="1"/>
        <v>35.879999999999995</v>
      </c>
      <c r="Q9" s="58">
        <f t="shared" si="1"/>
        <v>44.569999999999993</v>
      </c>
      <c r="R9" s="58">
        <f t="shared" si="1"/>
        <v>49.120000000000033</v>
      </c>
      <c r="S9" s="58">
        <f t="shared" si="1"/>
        <v>56.820000000000022</v>
      </c>
      <c r="T9" s="58">
        <f t="shared" si="1"/>
        <v>64.270000000000039</v>
      </c>
      <c r="U9" s="58">
        <f t="shared" si="1"/>
        <v>72.090000000000032</v>
      </c>
      <c r="V9" s="58">
        <f>IF(V8&lt;V7,0,V8-V7)</f>
        <v>79.349999999999966</v>
      </c>
      <c r="AB9" s="66" t="s">
        <v>50</v>
      </c>
      <c r="AC9" s="2"/>
      <c r="AD9" s="2"/>
      <c r="AE9" s="2"/>
      <c r="AF9" s="2"/>
      <c r="AG9" s="2"/>
      <c r="AH9" s="2"/>
      <c r="AI9" s="2"/>
    </row>
    <row r="10" spans="1:35" ht="15" customHeight="1" x14ac:dyDescent="0.3">
      <c r="B10" s="5">
        <f t="shared" si="0"/>
        <v>4</v>
      </c>
      <c r="C10" s="55" t="s">
        <v>27</v>
      </c>
      <c r="D10" s="27" t="s">
        <v>8</v>
      </c>
      <c r="E10" s="6"/>
      <c r="F10" s="58">
        <f>IF(F8&lt;F7,F8,F7)</f>
        <v>183.96</v>
      </c>
      <c r="G10" s="58">
        <f t="shared" ref="G10:V10" si="2">IF(G8&lt;G7,G8,G7)</f>
        <v>182.91</v>
      </c>
      <c r="H10" s="58">
        <f t="shared" si="2"/>
        <v>179</v>
      </c>
      <c r="I10" s="58">
        <f t="shared" si="2"/>
        <v>199</v>
      </c>
      <c r="J10" s="58">
        <f t="shared" si="2"/>
        <v>199.9</v>
      </c>
      <c r="K10" s="58">
        <f t="shared" si="2"/>
        <v>200.9</v>
      </c>
      <c r="L10" s="58">
        <f t="shared" si="2"/>
        <v>201.9</v>
      </c>
      <c r="M10" s="58">
        <f t="shared" si="2"/>
        <v>203</v>
      </c>
      <c r="N10" s="58">
        <f t="shared" si="2"/>
        <v>204</v>
      </c>
      <c r="O10" s="58">
        <f t="shared" si="2"/>
        <v>205</v>
      </c>
      <c r="P10" s="58">
        <f t="shared" si="2"/>
        <v>206</v>
      </c>
      <c r="Q10" s="58">
        <f t="shared" si="2"/>
        <v>207</v>
      </c>
      <c r="R10" s="58">
        <f t="shared" si="2"/>
        <v>208.1</v>
      </c>
      <c r="S10" s="58">
        <f t="shared" si="2"/>
        <v>209.1</v>
      </c>
      <c r="T10" s="58">
        <f t="shared" si="2"/>
        <v>210.2</v>
      </c>
      <c r="U10" s="58">
        <f t="shared" si="2"/>
        <v>211.2</v>
      </c>
      <c r="V10" s="58">
        <f t="shared" si="2"/>
        <v>212.3</v>
      </c>
      <c r="AB10" s="66" t="s">
        <v>51</v>
      </c>
      <c r="AC10" s="2"/>
      <c r="AD10" s="2"/>
      <c r="AE10" s="2"/>
      <c r="AF10" s="2"/>
      <c r="AG10" s="2"/>
      <c r="AH10" s="2"/>
      <c r="AI10" s="2"/>
    </row>
    <row r="11" spans="1:35" ht="15" customHeight="1" x14ac:dyDescent="0.3">
      <c r="B11" s="5">
        <f t="shared" si="0"/>
        <v>5</v>
      </c>
      <c r="C11" s="55" t="s">
        <v>47</v>
      </c>
      <c r="D11" s="27" t="s">
        <v>9</v>
      </c>
      <c r="E11" s="32"/>
      <c r="F11" s="51">
        <v>40502</v>
      </c>
      <c r="G11" s="51">
        <v>40301</v>
      </c>
      <c r="H11" s="51">
        <v>40192</v>
      </c>
      <c r="I11" s="51">
        <v>39899</v>
      </c>
      <c r="J11" s="51">
        <v>39698</v>
      </c>
      <c r="K11" s="51">
        <v>39500</v>
      </c>
      <c r="L11" s="51">
        <v>39394</v>
      </c>
      <c r="M11" s="51">
        <v>39107</v>
      </c>
      <c r="N11" s="51">
        <v>38909</v>
      </c>
      <c r="O11" s="51">
        <v>38717</v>
      </c>
      <c r="P11" s="51">
        <v>38611</v>
      </c>
      <c r="Q11" s="51">
        <v>38330</v>
      </c>
      <c r="R11" s="51">
        <v>38138</v>
      </c>
      <c r="S11" s="51">
        <v>37947</v>
      </c>
      <c r="T11" s="51">
        <v>37846</v>
      </c>
      <c r="U11" s="51">
        <v>37568</v>
      </c>
      <c r="V11" s="51">
        <v>37383</v>
      </c>
      <c r="AB11" s="66" t="s">
        <v>52</v>
      </c>
      <c r="AC11" s="2"/>
      <c r="AD11" s="2"/>
      <c r="AE11" s="2"/>
      <c r="AF11" s="2"/>
      <c r="AG11" s="2"/>
      <c r="AH11" s="2"/>
      <c r="AI11" s="2"/>
    </row>
    <row r="12" spans="1:35" ht="15" customHeight="1" x14ac:dyDescent="0.3">
      <c r="B12" s="5">
        <f t="shared" si="0"/>
        <v>6</v>
      </c>
      <c r="C12" s="55" t="s">
        <v>63</v>
      </c>
      <c r="D12" s="27" t="s">
        <v>9</v>
      </c>
      <c r="E12" s="7"/>
      <c r="F12" s="44">
        <f>ROUND(F11*0.9,0)</f>
        <v>36452</v>
      </c>
      <c r="G12" s="44">
        <f t="shared" ref="G12:V12" si="3">ROUND(G11*0.9,0)</f>
        <v>36271</v>
      </c>
      <c r="H12" s="44">
        <f t="shared" si="3"/>
        <v>36173</v>
      </c>
      <c r="I12" s="44">
        <f t="shared" si="3"/>
        <v>35909</v>
      </c>
      <c r="J12" s="44">
        <f t="shared" si="3"/>
        <v>35728</v>
      </c>
      <c r="K12" s="44">
        <f t="shared" si="3"/>
        <v>35550</v>
      </c>
      <c r="L12" s="44">
        <f t="shared" si="3"/>
        <v>35455</v>
      </c>
      <c r="M12" s="44">
        <f t="shared" si="3"/>
        <v>35196</v>
      </c>
      <c r="N12" s="44">
        <f t="shared" si="3"/>
        <v>35018</v>
      </c>
      <c r="O12" s="44">
        <f t="shared" si="3"/>
        <v>34845</v>
      </c>
      <c r="P12" s="44">
        <f t="shared" si="3"/>
        <v>34750</v>
      </c>
      <c r="Q12" s="44">
        <f t="shared" si="3"/>
        <v>34497</v>
      </c>
      <c r="R12" s="44">
        <f t="shared" si="3"/>
        <v>34324</v>
      </c>
      <c r="S12" s="44">
        <f t="shared" si="3"/>
        <v>34152</v>
      </c>
      <c r="T12" s="44">
        <f t="shared" si="3"/>
        <v>34061</v>
      </c>
      <c r="U12" s="44">
        <f t="shared" si="3"/>
        <v>33811</v>
      </c>
      <c r="V12" s="44">
        <f t="shared" si="3"/>
        <v>33645</v>
      </c>
      <c r="AB12" s="66" t="s">
        <v>53</v>
      </c>
      <c r="AC12" s="2"/>
      <c r="AD12" s="2"/>
      <c r="AE12" s="2"/>
      <c r="AF12" s="2"/>
      <c r="AG12" s="2"/>
      <c r="AH12" s="2"/>
      <c r="AI12" s="2"/>
    </row>
    <row r="13" spans="1:35" ht="15" customHeight="1" x14ac:dyDescent="0.3">
      <c r="B13" s="5">
        <f t="shared" si="0"/>
        <v>7</v>
      </c>
      <c r="C13" s="55" t="s">
        <v>19</v>
      </c>
      <c r="D13" s="27" t="s">
        <v>9</v>
      </c>
      <c r="E13" s="6"/>
      <c r="F13" s="93">
        <f>ROUND('CY 1'!$R10,0)</f>
        <v>39672</v>
      </c>
      <c r="G13" s="93">
        <f>ROUND('CY 2'!$R10,0)</f>
        <v>41110</v>
      </c>
      <c r="H13" s="93">
        <f>ROUND('CY 3'!$R10,0)</f>
        <v>40000</v>
      </c>
      <c r="I13" s="93">
        <f>ROUND('CY 4'!$R10,0)</f>
        <v>35400</v>
      </c>
      <c r="J13" s="93">
        <f>ROUND('CY 5'!$R10,0)</f>
        <v>33600</v>
      </c>
      <c r="K13" s="93">
        <f>ROUND('CY 6'!$R10,0)</f>
        <v>37000</v>
      </c>
      <c r="L13" s="93">
        <f>ROUND('CY 7'!$R10,0)</f>
        <v>43400</v>
      </c>
      <c r="M13" s="93">
        <v>38726</v>
      </c>
      <c r="N13" s="93">
        <v>38815</v>
      </c>
      <c r="O13" s="93">
        <v>34000</v>
      </c>
      <c r="P13" s="93">
        <v>40704</v>
      </c>
      <c r="Q13" s="93">
        <v>40142</v>
      </c>
      <c r="R13" s="93">
        <v>42000</v>
      </c>
      <c r="S13" s="93">
        <v>33000</v>
      </c>
      <c r="T13" s="93">
        <v>39817</v>
      </c>
      <c r="U13" s="93">
        <v>38176</v>
      </c>
      <c r="V13" s="93">
        <v>40582</v>
      </c>
      <c r="AB13" s="66" t="s">
        <v>34</v>
      </c>
      <c r="AC13" s="2"/>
      <c r="AD13" s="2"/>
      <c r="AE13" s="2"/>
      <c r="AF13" s="2"/>
      <c r="AG13" s="2"/>
      <c r="AH13" s="2"/>
      <c r="AI13" s="2"/>
    </row>
    <row r="14" spans="1:35" ht="15" customHeight="1" x14ac:dyDescent="0.3">
      <c r="A14" s="14"/>
      <c r="B14" s="5">
        <f t="shared" si="0"/>
        <v>8</v>
      </c>
      <c r="C14" s="55" t="s">
        <v>67</v>
      </c>
      <c r="D14" s="27" t="s">
        <v>9</v>
      </c>
      <c r="E14" s="70"/>
      <c r="F14" s="79">
        <f t="shared" ref="F14:V14" si="4">F43</f>
        <v>0</v>
      </c>
      <c r="G14" s="79">
        <f t="shared" si="4"/>
        <v>0</v>
      </c>
      <c r="H14" s="79">
        <f t="shared" si="4"/>
        <v>1798</v>
      </c>
      <c r="I14" s="79">
        <f t="shared" si="4"/>
        <v>0</v>
      </c>
      <c r="J14" s="79">
        <f t="shared" si="4"/>
        <v>82</v>
      </c>
      <c r="K14" s="79">
        <f t="shared" si="4"/>
        <v>1812</v>
      </c>
      <c r="L14" s="79">
        <f t="shared" si="4"/>
        <v>0</v>
      </c>
      <c r="M14" s="79">
        <f t="shared" si="4"/>
        <v>0</v>
      </c>
      <c r="N14" s="79">
        <f t="shared" si="4"/>
        <v>0</v>
      </c>
      <c r="O14" s="79">
        <f t="shared" si="4"/>
        <v>0</v>
      </c>
      <c r="P14" s="79">
        <f t="shared" si="4"/>
        <v>0</v>
      </c>
      <c r="Q14" s="79">
        <f t="shared" si="4"/>
        <v>0</v>
      </c>
      <c r="R14" s="79">
        <f t="shared" si="4"/>
        <v>0</v>
      </c>
      <c r="S14" s="79">
        <f t="shared" si="4"/>
        <v>0</v>
      </c>
      <c r="T14" s="79">
        <f t="shared" si="4"/>
        <v>0</v>
      </c>
      <c r="U14" s="79">
        <f t="shared" si="4"/>
        <v>0</v>
      </c>
      <c r="V14" s="79">
        <f t="shared" si="4"/>
        <v>0</v>
      </c>
      <c r="AB14" s="66" t="s">
        <v>82</v>
      </c>
      <c r="AC14" s="2"/>
      <c r="AD14" s="2"/>
      <c r="AE14" s="2"/>
      <c r="AF14" s="2"/>
      <c r="AG14" s="2"/>
      <c r="AH14" s="2"/>
      <c r="AI14" s="2"/>
    </row>
    <row r="15" spans="1:35" ht="15" customHeight="1" x14ac:dyDescent="0.3">
      <c r="A15" s="14"/>
      <c r="B15" s="5">
        <f t="shared" si="0"/>
        <v>9</v>
      </c>
      <c r="C15" s="55" t="s">
        <v>64</v>
      </c>
      <c r="D15" s="27" t="s">
        <v>9</v>
      </c>
      <c r="E15" s="70"/>
      <c r="F15" s="79">
        <f>F13+F14</f>
        <v>39672</v>
      </c>
      <c r="G15" s="79">
        <f t="shared" ref="G15:V15" si="5">G13+G14</f>
        <v>41110</v>
      </c>
      <c r="H15" s="79">
        <f t="shared" si="5"/>
        <v>41798</v>
      </c>
      <c r="I15" s="79">
        <f t="shared" si="5"/>
        <v>35400</v>
      </c>
      <c r="J15" s="79">
        <f t="shared" si="5"/>
        <v>33682</v>
      </c>
      <c r="K15" s="79">
        <f t="shared" si="5"/>
        <v>38812</v>
      </c>
      <c r="L15" s="79">
        <f t="shared" si="5"/>
        <v>43400</v>
      </c>
      <c r="M15" s="79">
        <f t="shared" si="5"/>
        <v>38726</v>
      </c>
      <c r="N15" s="79">
        <f t="shared" si="5"/>
        <v>38815</v>
      </c>
      <c r="O15" s="79">
        <f t="shared" si="5"/>
        <v>34000</v>
      </c>
      <c r="P15" s="79">
        <f t="shared" si="5"/>
        <v>40704</v>
      </c>
      <c r="Q15" s="79">
        <f t="shared" si="5"/>
        <v>40142</v>
      </c>
      <c r="R15" s="79">
        <f t="shared" si="5"/>
        <v>42000</v>
      </c>
      <c r="S15" s="79">
        <f t="shared" si="5"/>
        <v>33000</v>
      </c>
      <c r="T15" s="79">
        <f t="shared" si="5"/>
        <v>39817</v>
      </c>
      <c r="U15" s="79">
        <f t="shared" si="5"/>
        <v>38176</v>
      </c>
      <c r="V15" s="79">
        <f t="shared" si="5"/>
        <v>40582</v>
      </c>
      <c r="AB15" s="66" t="s">
        <v>83</v>
      </c>
      <c r="AC15" s="2"/>
      <c r="AD15" s="2"/>
      <c r="AE15" s="2"/>
      <c r="AF15" s="2"/>
      <c r="AG15" s="2"/>
      <c r="AH15" s="2"/>
      <c r="AI15" s="2"/>
    </row>
    <row r="16" spans="1:35" ht="15" customHeight="1" x14ac:dyDescent="0.3">
      <c r="B16" s="5">
        <f t="shared" si="0"/>
        <v>10</v>
      </c>
      <c r="C16" s="55" t="s">
        <v>29</v>
      </c>
      <c r="D16" s="27" t="s">
        <v>9</v>
      </c>
      <c r="E16" s="6"/>
      <c r="F16" s="45">
        <v>49000</v>
      </c>
      <c r="G16" s="45">
        <v>41000</v>
      </c>
      <c r="H16" s="45">
        <v>41000</v>
      </c>
      <c r="I16" s="45">
        <v>41000</v>
      </c>
      <c r="J16" s="45">
        <v>39000</v>
      </c>
      <c r="K16" s="45">
        <v>38000</v>
      </c>
      <c r="L16" s="45">
        <v>38000</v>
      </c>
      <c r="M16" s="45">
        <v>40000</v>
      </c>
      <c r="N16" s="45">
        <v>35000</v>
      </c>
      <c r="O16" s="45">
        <v>35000</v>
      </c>
      <c r="P16" s="45">
        <v>35000</v>
      </c>
      <c r="Q16" s="45">
        <v>35000</v>
      </c>
      <c r="R16" s="45">
        <v>41000</v>
      </c>
      <c r="S16" s="45">
        <v>40000</v>
      </c>
      <c r="T16" s="45">
        <v>40000</v>
      </c>
      <c r="U16" s="45">
        <v>40000</v>
      </c>
      <c r="V16" s="45">
        <v>45000</v>
      </c>
      <c r="AB16" s="66" t="s">
        <v>35</v>
      </c>
      <c r="AC16" s="2"/>
      <c r="AD16" s="2"/>
      <c r="AE16" s="2"/>
      <c r="AF16" s="2"/>
      <c r="AG16" s="2"/>
      <c r="AH16" s="2"/>
      <c r="AI16" s="2"/>
    </row>
    <row r="17" spans="1:35" ht="15" customHeight="1" x14ac:dyDescent="0.3">
      <c r="B17" s="5">
        <f t="shared" si="0"/>
        <v>11</v>
      </c>
      <c r="C17" s="55" t="s">
        <v>30</v>
      </c>
      <c r="D17" s="27" t="s">
        <v>9</v>
      </c>
      <c r="E17" s="6"/>
      <c r="F17" s="45">
        <v>40505.124000000003</v>
      </c>
      <c r="G17" s="45">
        <v>40505.124000000003</v>
      </c>
      <c r="H17" s="45">
        <v>40505.124000000003</v>
      </c>
      <c r="I17" s="45">
        <v>40505.124000000003</v>
      </c>
      <c r="J17" s="45">
        <v>40505.124000000003</v>
      </c>
      <c r="K17" s="45">
        <v>40505.124000000003</v>
      </c>
      <c r="L17" s="45">
        <v>40505.124000000003</v>
      </c>
      <c r="M17" s="45">
        <v>40505.124000000003</v>
      </c>
      <c r="N17" s="45">
        <v>40505.124000000003</v>
      </c>
      <c r="O17" s="45">
        <v>40505.124000000003</v>
      </c>
      <c r="P17" s="45">
        <v>40505.124000000003</v>
      </c>
      <c r="Q17" s="45">
        <v>40505.124000000003</v>
      </c>
      <c r="R17" s="45">
        <v>40505.124000000003</v>
      </c>
      <c r="S17" s="45">
        <v>40505.124000000003</v>
      </c>
      <c r="T17" s="45">
        <v>40505.124000000003</v>
      </c>
      <c r="U17" s="45">
        <v>40505.124000000003</v>
      </c>
      <c r="V17" s="45">
        <v>40505.124000000003</v>
      </c>
      <c r="AB17" s="66" t="s">
        <v>36</v>
      </c>
      <c r="AC17" s="2"/>
      <c r="AD17" s="2"/>
      <c r="AE17" s="2"/>
      <c r="AF17" s="2"/>
      <c r="AG17" s="2"/>
      <c r="AH17" s="2"/>
      <c r="AI17" s="2"/>
    </row>
    <row r="18" spans="1:35" ht="15" customHeight="1" x14ac:dyDescent="0.3">
      <c r="B18" s="5">
        <f t="shared" si="0"/>
        <v>12</v>
      </c>
      <c r="C18" s="55" t="s">
        <v>28</v>
      </c>
      <c r="D18" s="27" t="s">
        <v>15</v>
      </c>
      <c r="E18" s="6"/>
      <c r="F18" s="78">
        <f>ROUND(F16/F17,4)</f>
        <v>1.2097</v>
      </c>
      <c r="G18" s="78">
        <f t="shared" ref="G18:V18" si="6">ROUND(G16/G17,4)</f>
        <v>1.0122</v>
      </c>
      <c r="H18" s="78">
        <f t="shared" si="6"/>
        <v>1.0122</v>
      </c>
      <c r="I18" s="78">
        <f t="shared" si="6"/>
        <v>1.0122</v>
      </c>
      <c r="J18" s="78">
        <f t="shared" si="6"/>
        <v>0.96279999999999999</v>
      </c>
      <c r="K18" s="78">
        <f t="shared" si="6"/>
        <v>0.93820000000000003</v>
      </c>
      <c r="L18" s="78">
        <f t="shared" si="6"/>
        <v>0.93820000000000003</v>
      </c>
      <c r="M18" s="78">
        <f t="shared" si="6"/>
        <v>0.98750000000000004</v>
      </c>
      <c r="N18" s="78">
        <f t="shared" si="6"/>
        <v>0.86409999999999998</v>
      </c>
      <c r="O18" s="78">
        <f t="shared" si="6"/>
        <v>0.86409999999999998</v>
      </c>
      <c r="P18" s="78">
        <f t="shared" si="6"/>
        <v>0.86409999999999998</v>
      </c>
      <c r="Q18" s="78">
        <f t="shared" si="6"/>
        <v>0.86409999999999998</v>
      </c>
      <c r="R18" s="78">
        <f t="shared" si="6"/>
        <v>1.0122</v>
      </c>
      <c r="S18" s="78">
        <f t="shared" si="6"/>
        <v>0.98750000000000004</v>
      </c>
      <c r="T18" s="78">
        <f t="shared" si="6"/>
        <v>0.98750000000000004</v>
      </c>
      <c r="U18" s="78">
        <f t="shared" si="6"/>
        <v>0.98750000000000004</v>
      </c>
      <c r="V18" s="78">
        <f t="shared" si="6"/>
        <v>1.111</v>
      </c>
      <c r="AB18" s="66" t="s">
        <v>37</v>
      </c>
      <c r="AC18" s="2"/>
      <c r="AD18" s="2"/>
      <c r="AE18" s="2"/>
      <c r="AF18" s="2"/>
      <c r="AG18" s="2"/>
      <c r="AH18" s="2"/>
      <c r="AI18" s="2"/>
    </row>
    <row r="19" spans="1:35" ht="15" customHeight="1" x14ac:dyDescent="0.3">
      <c r="A19" s="14"/>
      <c r="B19" s="5">
        <f t="shared" si="0"/>
        <v>13</v>
      </c>
      <c r="C19" s="55" t="s">
        <v>65</v>
      </c>
      <c r="D19" s="27" t="s">
        <v>9</v>
      </c>
      <c r="E19" s="27"/>
      <c r="F19" s="44">
        <f t="shared" ref="F19:V19" si="7">ROUND(F15-F11,0)</f>
        <v>-830</v>
      </c>
      <c r="G19" s="44">
        <f t="shared" si="7"/>
        <v>809</v>
      </c>
      <c r="H19" s="44">
        <f t="shared" si="7"/>
        <v>1606</v>
      </c>
      <c r="I19" s="44">
        <f t="shared" si="7"/>
        <v>-4499</v>
      </c>
      <c r="J19" s="44">
        <f t="shared" si="7"/>
        <v>-6016</v>
      </c>
      <c r="K19" s="44">
        <f t="shared" si="7"/>
        <v>-688</v>
      </c>
      <c r="L19" s="44">
        <f t="shared" si="7"/>
        <v>4006</v>
      </c>
      <c r="M19" s="44">
        <f t="shared" si="7"/>
        <v>-381</v>
      </c>
      <c r="N19" s="44">
        <f t="shared" si="7"/>
        <v>-94</v>
      </c>
      <c r="O19" s="44">
        <f t="shared" si="7"/>
        <v>-4717</v>
      </c>
      <c r="P19" s="44">
        <f t="shared" si="7"/>
        <v>2093</v>
      </c>
      <c r="Q19" s="44">
        <f t="shared" si="7"/>
        <v>1812</v>
      </c>
      <c r="R19" s="44">
        <f t="shared" si="7"/>
        <v>3862</v>
      </c>
      <c r="S19" s="44">
        <f t="shared" si="7"/>
        <v>-4947</v>
      </c>
      <c r="T19" s="44">
        <f t="shared" si="7"/>
        <v>1971</v>
      </c>
      <c r="U19" s="44">
        <f t="shared" si="7"/>
        <v>608</v>
      </c>
      <c r="V19" s="44">
        <f t="shared" si="7"/>
        <v>3199</v>
      </c>
      <c r="AB19" s="66" t="s">
        <v>58</v>
      </c>
      <c r="AC19" s="2"/>
      <c r="AD19" s="2"/>
      <c r="AE19" s="2"/>
      <c r="AF19" s="2"/>
      <c r="AG19" s="2"/>
      <c r="AH19" s="2"/>
      <c r="AI19" s="2"/>
    </row>
    <row r="20" spans="1:35" ht="15" customHeight="1" x14ac:dyDescent="0.3">
      <c r="A20" s="14"/>
      <c r="B20" s="5">
        <f t="shared" si="0"/>
        <v>14</v>
      </c>
      <c r="C20" s="90" t="s">
        <v>86</v>
      </c>
      <c r="D20" s="32" t="s">
        <v>9</v>
      </c>
      <c r="E20" s="28"/>
      <c r="F20" s="79">
        <f>F44</f>
        <v>810</v>
      </c>
      <c r="G20" s="79">
        <f>G44</f>
        <v>0</v>
      </c>
      <c r="H20" s="79">
        <f>H44</f>
        <v>804</v>
      </c>
      <c r="I20" s="79">
        <f>I44</f>
        <v>237</v>
      </c>
      <c r="J20" s="79">
        <f t="shared" ref="J20:V20" si="8">J44</f>
        <v>794</v>
      </c>
      <c r="K20" s="79">
        <f t="shared" si="8"/>
        <v>790</v>
      </c>
      <c r="L20" s="79">
        <f t="shared" si="8"/>
        <v>0</v>
      </c>
      <c r="M20" s="79">
        <f t="shared" si="8"/>
        <v>237</v>
      </c>
      <c r="N20" s="79">
        <f t="shared" si="8"/>
        <v>0</v>
      </c>
      <c r="O20" s="79">
        <f t="shared" si="8"/>
        <v>0</v>
      </c>
      <c r="P20" s="79">
        <f t="shared" si="8"/>
        <v>0</v>
      </c>
      <c r="Q20" s="79">
        <f t="shared" si="8"/>
        <v>237</v>
      </c>
      <c r="R20" s="79">
        <f t="shared" si="8"/>
        <v>0</v>
      </c>
      <c r="S20" s="79">
        <f t="shared" si="8"/>
        <v>0</v>
      </c>
      <c r="T20" s="79">
        <f t="shared" si="8"/>
        <v>0</v>
      </c>
      <c r="U20" s="79">
        <f t="shared" si="8"/>
        <v>237</v>
      </c>
      <c r="V20" s="79">
        <f t="shared" si="8"/>
        <v>0</v>
      </c>
      <c r="AB20" s="66" t="s">
        <v>59</v>
      </c>
      <c r="AC20" s="2"/>
      <c r="AD20" s="2"/>
      <c r="AE20" s="2"/>
      <c r="AF20" s="2"/>
      <c r="AG20" s="2"/>
      <c r="AH20" s="2"/>
      <c r="AI20" s="2"/>
    </row>
    <row r="21" spans="1:35" ht="15" customHeight="1" x14ac:dyDescent="0.3">
      <c r="A21" s="14"/>
      <c r="B21" s="5"/>
      <c r="C21" s="55"/>
      <c r="D21" s="27"/>
      <c r="E21" s="27"/>
      <c r="F21" s="44"/>
      <c r="G21" s="44"/>
      <c r="H21" s="44"/>
      <c r="I21" s="44"/>
      <c r="J21" s="44"/>
      <c r="K21" s="44"/>
      <c r="L21" s="44"/>
      <c r="M21" s="44"/>
      <c r="N21" s="44"/>
      <c r="O21" s="44"/>
      <c r="P21" s="44"/>
      <c r="Q21" s="44"/>
      <c r="R21" s="44"/>
      <c r="S21" s="44"/>
      <c r="T21" s="44"/>
      <c r="U21" s="44"/>
      <c r="V21" s="44"/>
      <c r="AB21" s="66" t="s">
        <v>100</v>
      </c>
      <c r="AC21" s="2"/>
      <c r="AD21" s="2"/>
      <c r="AE21" s="2"/>
      <c r="AF21" s="2"/>
      <c r="AG21" s="2"/>
      <c r="AH21" s="2"/>
      <c r="AI21" s="2"/>
    </row>
    <row r="22" spans="1:35" ht="15" customHeight="1" x14ac:dyDescent="0.3">
      <c r="A22" s="31" t="s">
        <v>14</v>
      </c>
      <c r="B22" s="12"/>
      <c r="C22" s="55"/>
      <c r="D22" s="13"/>
      <c r="E22" s="13"/>
      <c r="F22" s="44"/>
      <c r="G22" s="44"/>
      <c r="H22" s="44"/>
      <c r="I22" s="44"/>
      <c r="J22" s="44"/>
      <c r="K22" s="44"/>
      <c r="L22" s="44"/>
      <c r="M22" s="44"/>
      <c r="N22" s="44"/>
      <c r="O22" s="44"/>
      <c r="P22" s="44"/>
      <c r="Q22" s="44"/>
      <c r="R22" s="44"/>
      <c r="S22" s="44"/>
      <c r="T22" s="44"/>
      <c r="U22" s="44"/>
      <c r="V22" s="44"/>
      <c r="AB22" s="66" t="s">
        <v>100</v>
      </c>
      <c r="AC22" s="2"/>
      <c r="AD22" s="2"/>
      <c r="AE22" s="2"/>
      <c r="AF22" s="2"/>
      <c r="AG22" s="2"/>
      <c r="AH22" s="2"/>
      <c r="AI22" s="2"/>
    </row>
    <row r="23" spans="1:35" ht="15" customHeight="1" x14ac:dyDescent="0.3">
      <c r="A23" s="14"/>
      <c r="B23" s="5">
        <f>B20+1</f>
        <v>15</v>
      </c>
      <c r="C23" s="55" t="s">
        <v>6</v>
      </c>
      <c r="D23" s="27" t="s">
        <v>9</v>
      </c>
      <c r="E23" s="27"/>
      <c r="F23" s="38">
        <f t="shared" ref="F23:V23" si="9">IF(F15&lt;F11,0,F15-F11)</f>
        <v>0</v>
      </c>
      <c r="G23" s="38">
        <f t="shared" si="9"/>
        <v>809</v>
      </c>
      <c r="H23" s="38">
        <f t="shared" si="9"/>
        <v>1606</v>
      </c>
      <c r="I23" s="38">
        <f t="shared" si="9"/>
        <v>0</v>
      </c>
      <c r="J23" s="38">
        <f t="shared" si="9"/>
        <v>0</v>
      </c>
      <c r="K23" s="38">
        <f t="shared" si="9"/>
        <v>0</v>
      </c>
      <c r="L23" s="38">
        <f t="shared" si="9"/>
        <v>4006</v>
      </c>
      <c r="M23" s="38">
        <f t="shared" si="9"/>
        <v>0</v>
      </c>
      <c r="N23" s="38">
        <f t="shared" si="9"/>
        <v>0</v>
      </c>
      <c r="O23" s="38">
        <f t="shared" si="9"/>
        <v>0</v>
      </c>
      <c r="P23" s="38">
        <f t="shared" si="9"/>
        <v>2093</v>
      </c>
      <c r="Q23" s="38">
        <f t="shared" si="9"/>
        <v>1812</v>
      </c>
      <c r="R23" s="38">
        <f t="shared" si="9"/>
        <v>3862</v>
      </c>
      <c r="S23" s="38">
        <f t="shared" si="9"/>
        <v>0</v>
      </c>
      <c r="T23" s="38">
        <f t="shared" si="9"/>
        <v>1971</v>
      </c>
      <c r="U23" s="38">
        <f t="shared" si="9"/>
        <v>608</v>
      </c>
      <c r="V23" s="38">
        <f t="shared" si="9"/>
        <v>3199</v>
      </c>
      <c r="AB23" s="66" t="s">
        <v>66</v>
      </c>
      <c r="AC23" s="2"/>
      <c r="AD23" s="2"/>
      <c r="AE23" s="2"/>
      <c r="AF23" s="2"/>
      <c r="AG23" s="2"/>
      <c r="AH23" s="2"/>
      <c r="AI23" s="2"/>
    </row>
    <row r="24" spans="1:35" ht="15" customHeight="1" x14ac:dyDescent="0.3">
      <c r="A24" s="14"/>
      <c r="B24" s="12">
        <f>B23+1</f>
        <v>16</v>
      </c>
      <c r="C24" s="55" t="s">
        <v>98</v>
      </c>
      <c r="D24" s="27" t="s">
        <v>9</v>
      </c>
      <c r="E24" s="11"/>
      <c r="F24" s="38">
        <f t="shared" ref="F24:V24" si="10">ROUND(IF(F15&lt;F12,(0.1*F11)+(F34-F35),IF(F15&gt;F11,0,F11-F15)),0)</f>
        <v>830</v>
      </c>
      <c r="G24" s="38">
        <f t="shared" si="10"/>
        <v>0</v>
      </c>
      <c r="H24" s="38">
        <f t="shared" si="10"/>
        <v>0</v>
      </c>
      <c r="I24" s="38">
        <f t="shared" si="10"/>
        <v>4227</v>
      </c>
      <c r="J24" s="38">
        <f t="shared" si="10"/>
        <v>6016</v>
      </c>
      <c r="K24" s="38">
        <f t="shared" si="10"/>
        <v>688</v>
      </c>
      <c r="L24" s="38">
        <f t="shared" si="10"/>
        <v>0</v>
      </c>
      <c r="M24" s="38">
        <f t="shared" si="10"/>
        <v>381</v>
      </c>
      <c r="N24" s="38">
        <f t="shared" si="10"/>
        <v>94</v>
      </c>
      <c r="O24" s="38">
        <f t="shared" si="10"/>
        <v>4717</v>
      </c>
      <c r="P24" s="38">
        <f t="shared" si="10"/>
        <v>0</v>
      </c>
      <c r="Q24" s="38">
        <f t="shared" si="10"/>
        <v>0</v>
      </c>
      <c r="R24" s="38">
        <f t="shared" si="10"/>
        <v>0</v>
      </c>
      <c r="S24" s="38">
        <f t="shared" si="10"/>
        <v>4222</v>
      </c>
      <c r="T24" s="38">
        <f t="shared" si="10"/>
        <v>0</v>
      </c>
      <c r="U24" s="38">
        <f t="shared" si="10"/>
        <v>0</v>
      </c>
      <c r="V24" s="38">
        <f t="shared" si="10"/>
        <v>0</v>
      </c>
      <c r="AB24" s="66" t="s">
        <v>106</v>
      </c>
      <c r="AC24" s="2"/>
      <c r="AD24" s="2"/>
      <c r="AE24" s="2"/>
      <c r="AF24" s="2"/>
      <c r="AG24" s="2"/>
      <c r="AH24" s="2"/>
      <c r="AI24" s="2"/>
    </row>
    <row r="25" spans="1:35" ht="15" customHeight="1" x14ac:dyDescent="0.3">
      <c r="A25" s="14"/>
      <c r="B25" s="12"/>
      <c r="C25" s="55"/>
      <c r="D25" s="27"/>
      <c r="E25" s="11"/>
      <c r="F25" s="44"/>
      <c r="G25" s="44"/>
      <c r="H25" s="44"/>
      <c r="I25" s="44"/>
      <c r="J25" s="44"/>
      <c r="K25" s="44"/>
      <c r="L25" s="44"/>
      <c r="M25" s="44"/>
      <c r="N25" s="44"/>
      <c r="O25" s="44"/>
      <c r="P25" s="44"/>
      <c r="Q25" s="44"/>
      <c r="R25" s="44"/>
      <c r="S25" s="44"/>
      <c r="T25" s="44"/>
      <c r="U25" s="44"/>
      <c r="V25" s="44"/>
      <c r="AB25" s="66" t="s">
        <v>100</v>
      </c>
      <c r="AC25" s="2"/>
      <c r="AD25" s="2"/>
      <c r="AE25" s="2"/>
      <c r="AF25" s="2"/>
      <c r="AG25" s="2"/>
      <c r="AH25" s="2"/>
      <c r="AI25" s="2"/>
    </row>
    <row r="26" spans="1:35" ht="15" customHeight="1" x14ac:dyDescent="0.3">
      <c r="A26" s="14"/>
      <c r="B26" s="5">
        <f>B24+1</f>
        <v>17</v>
      </c>
      <c r="C26" s="55" t="s">
        <v>38</v>
      </c>
      <c r="D26" s="27" t="s">
        <v>9</v>
      </c>
      <c r="E26" s="27"/>
      <c r="F26" s="48"/>
      <c r="G26" s="38">
        <f>IF(G$23=0,F$24,IF(F$24&gt;G$23,F$24-G$23,0))</f>
        <v>21</v>
      </c>
      <c r="H26" s="52">
        <f t="shared" ref="H26:T26" si="11">IF(H$23=0,G24,IF(H$23-G26-G27-G28-G29&gt;G24,0,IF(H$23-G26-G27-G28-G29&lt;0,G24,G24-(H$23-G26-G27-G28-G29))))</f>
        <v>0</v>
      </c>
      <c r="I26" s="38">
        <f t="shared" si="11"/>
        <v>0</v>
      </c>
      <c r="J26" s="57">
        <f t="shared" si="11"/>
        <v>4227</v>
      </c>
      <c r="K26" s="38">
        <f t="shared" si="11"/>
        <v>6016</v>
      </c>
      <c r="L26" s="52">
        <f t="shared" si="11"/>
        <v>688</v>
      </c>
      <c r="M26" s="38">
        <f t="shared" si="11"/>
        <v>0</v>
      </c>
      <c r="N26" s="57">
        <f t="shared" si="11"/>
        <v>381</v>
      </c>
      <c r="O26" s="38">
        <f t="shared" si="11"/>
        <v>94</v>
      </c>
      <c r="P26" s="52">
        <f t="shared" si="11"/>
        <v>3787</v>
      </c>
      <c r="Q26" s="38">
        <f t="shared" si="11"/>
        <v>0</v>
      </c>
      <c r="R26" s="57">
        <f t="shared" si="11"/>
        <v>0</v>
      </c>
      <c r="S26" s="38">
        <f t="shared" si="11"/>
        <v>0</v>
      </c>
      <c r="T26" s="52">
        <f t="shared" si="11"/>
        <v>2251</v>
      </c>
      <c r="U26" s="38">
        <f t="shared" ref="U26" si="12">IF(U$23=0,T24,IF(U$23-T26-T27-T28-T29&gt;T24,0,IF(U$23-T26-T27-T28-T29&lt;0,T24,T24-(U$23-T26-T27-T28-T29))))</f>
        <v>0</v>
      </c>
      <c r="V26" s="38">
        <f>IF(V$23=0,U24,IF(V$23-U26-U27-U28-U29&gt;U24,0,IF(V$23-U26-U27-U28-U29&lt;0,U24,U24-(V$23-U26-U27-U28-U29))))</f>
        <v>0</v>
      </c>
      <c r="AB26" s="66" t="s">
        <v>100</v>
      </c>
      <c r="AC26" s="17"/>
      <c r="AD26" s="17"/>
      <c r="AE26" s="2"/>
      <c r="AF26" s="2"/>
      <c r="AG26" s="2"/>
      <c r="AH26" s="2"/>
      <c r="AI26" s="2"/>
    </row>
    <row r="27" spans="1:35" ht="15" customHeight="1" x14ac:dyDescent="0.3">
      <c r="A27" s="14"/>
      <c r="B27" s="5">
        <f t="shared" ref="B27:B31" si="13">B26+1</f>
        <v>18</v>
      </c>
      <c r="C27" s="55" t="s">
        <v>39</v>
      </c>
      <c r="D27" s="27" t="s">
        <v>9</v>
      </c>
      <c r="E27" s="27"/>
      <c r="F27" s="48"/>
      <c r="G27" s="48"/>
      <c r="H27" s="38">
        <f>IF(H$23=0,G26,IF(H$23&lt;G26,G26-H$23,0))</f>
        <v>0</v>
      </c>
      <c r="I27" s="52">
        <f>IF(I$23=0,H26,IF(I$23-H27-H28-H29&gt;H26,0,IF(I$23-H27-H28-H29&lt;0,H26,H26-(I$23-H27-H28-H29))))</f>
        <v>0</v>
      </c>
      <c r="J27" s="38">
        <f t="shared" ref="J27:U27" si="14">IF(J$23=0,I26,IF(J$23-I27-I28-I29&gt;I26,0,IF(J$23-I27-I28-I29&lt;0,I26,I26-(J$23-I27-I28-I29))))</f>
        <v>0</v>
      </c>
      <c r="K27" s="57">
        <f t="shared" si="14"/>
        <v>4227</v>
      </c>
      <c r="L27" s="38">
        <f t="shared" si="14"/>
        <v>6016</v>
      </c>
      <c r="M27" s="52">
        <f t="shared" si="14"/>
        <v>688</v>
      </c>
      <c r="N27" s="38">
        <f t="shared" si="14"/>
        <v>0</v>
      </c>
      <c r="O27" s="57">
        <f t="shared" si="14"/>
        <v>381</v>
      </c>
      <c r="P27" s="38">
        <f t="shared" si="14"/>
        <v>0</v>
      </c>
      <c r="Q27" s="52">
        <f t="shared" si="14"/>
        <v>1975</v>
      </c>
      <c r="R27" s="38">
        <f t="shared" si="14"/>
        <v>0</v>
      </c>
      <c r="S27" s="57">
        <f t="shared" si="14"/>
        <v>0</v>
      </c>
      <c r="T27" s="38">
        <f t="shared" si="14"/>
        <v>0</v>
      </c>
      <c r="U27" s="52">
        <f t="shared" si="14"/>
        <v>1643</v>
      </c>
      <c r="V27" s="38">
        <f>IF(V$23=0,U26,IF(V$23-U27-U28-U29&gt;U26,0,IF(V$23-U27-U28-U29&lt;0,U26,U26-(V$23-U27-U28-U29))))</f>
        <v>0</v>
      </c>
      <c r="AB27" s="66" t="s">
        <v>100</v>
      </c>
      <c r="AC27" s="17"/>
      <c r="AD27" s="17"/>
      <c r="AE27" s="2"/>
      <c r="AF27" s="2"/>
      <c r="AG27" s="2"/>
      <c r="AH27" s="2"/>
      <c r="AI27" s="2"/>
    </row>
    <row r="28" spans="1:35" ht="15" customHeight="1" x14ac:dyDescent="0.3">
      <c r="A28" s="14"/>
      <c r="B28" s="5">
        <f t="shared" si="13"/>
        <v>19</v>
      </c>
      <c r="C28" s="55" t="s">
        <v>40</v>
      </c>
      <c r="D28" s="27" t="s">
        <v>9</v>
      </c>
      <c r="E28" s="27"/>
      <c r="F28" s="48"/>
      <c r="G28" s="48"/>
      <c r="H28" s="48"/>
      <c r="I28" s="38">
        <f>IF(I$23=0,H27,IF(I$23&lt;H27,H27-I$23,0))</f>
        <v>0</v>
      </c>
      <c r="J28" s="52">
        <f>IF(J$23=0,I27,IF(J$23-I28-I29&gt;I27,0,IF(J$23-I28-I29&lt;0,I27,I27-(J$23-I28-I29))))</f>
        <v>0</v>
      </c>
      <c r="K28" s="38">
        <f t="shared" ref="K28:U28" si="15">IF(K$23=0,J27,IF(K$23-J28-J29&gt;J27,0,IF(K$23-J28-J29&lt;0,J27,J27-(K$23-J28-J29))))</f>
        <v>0</v>
      </c>
      <c r="L28" s="57">
        <f t="shared" si="15"/>
        <v>221</v>
      </c>
      <c r="M28" s="38">
        <f t="shared" si="15"/>
        <v>6016</v>
      </c>
      <c r="N28" s="52">
        <f t="shared" si="15"/>
        <v>688</v>
      </c>
      <c r="O28" s="38">
        <f t="shared" si="15"/>
        <v>0</v>
      </c>
      <c r="P28" s="57">
        <f t="shared" si="15"/>
        <v>0</v>
      </c>
      <c r="Q28" s="38">
        <f t="shared" si="15"/>
        <v>0</v>
      </c>
      <c r="R28" s="52">
        <f t="shared" si="15"/>
        <v>0</v>
      </c>
      <c r="S28" s="38">
        <f t="shared" si="15"/>
        <v>0</v>
      </c>
      <c r="T28" s="57">
        <f t="shared" si="15"/>
        <v>0</v>
      </c>
      <c r="U28" s="38">
        <f t="shared" si="15"/>
        <v>0</v>
      </c>
      <c r="V28" s="52">
        <f>IF(V$23=0,U27,IF(V$23-U28-U29&gt;U27,0,IF(V$23-U28-U29&lt;0,U27,U27-(V$23-U28-U29))))</f>
        <v>0</v>
      </c>
      <c r="AB28" s="66" t="s">
        <v>100</v>
      </c>
      <c r="AC28" s="17"/>
      <c r="AD28" s="17"/>
      <c r="AE28" s="2"/>
      <c r="AF28" s="2"/>
      <c r="AG28" s="2"/>
      <c r="AH28" s="2"/>
      <c r="AI28" s="2"/>
    </row>
    <row r="29" spans="1:35" ht="15" customHeight="1" x14ac:dyDescent="0.3">
      <c r="A29" s="14"/>
      <c r="B29" s="5">
        <f t="shared" si="13"/>
        <v>20</v>
      </c>
      <c r="C29" s="55" t="s">
        <v>41</v>
      </c>
      <c r="D29" s="27" t="s">
        <v>9</v>
      </c>
      <c r="E29" s="27"/>
      <c r="F29" s="48"/>
      <c r="G29" s="48"/>
      <c r="H29" s="48"/>
      <c r="I29" s="48"/>
      <c r="J29" s="38">
        <f>IF(J$23=0,I28,IF(J$23&lt;I28,I28-J$23,0))</f>
        <v>0</v>
      </c>
      <c r="K29" s="53">
        <f t="shared" ref="K29:U29" si="16">IF(K$23=0,J28,IF(K$23-J29&gt;J28,0,IF(K$23-J29&lt;0,J28,J28-(K23-J29))))</f>
        <v>0</v>
      </c>
      <c r="L29" s="38">
        <f t="shared" si="16"/>
        <v>0</v>
      </c>
      <c r="M29" s="57">
        <f t="shared" si="16"/>
        <v>221</v>
      </c>
      <c r="N29" s="51">
        <f t="shared" si="16"/>
        <v>6016</v>
      </c>
      <c r="O29" s="53">
        <f t="shared" si="16"/>
        <v>688</v>
      </c>
      <c r="P29" s="51">
        <f t="shared" si="16"/>
        <v>0</v>
      </c>
      <c r="Q29" s="57">
        <f t="shared" si="16"/>
        <v>0</v>
      </c>
      <c r="R29" s="38">
        <f t="shared" si="16"/>
        <v>0</v>
      </c>
      <c r="S29" s="52">
        <f t="shared" si="16"/>
        <v>0</v>
      </c>
      <c r="T29" s="47">
        <f t="shared" si="16"/>
        <v>0</v>
      </c>
      <c r="U29" s="57">
        <f t="shared" si="16"/>
        <v>0</v>
      </c>
      <c r="V29" s="38">
        <f>IF(V$23=0,U28,IF(V$23-U29&gt;U28,0,IF(V$23-U29&lt;0,U28,U28-(V23-U29))))</f>
        <v>0</v>
      </c>
      <c r="AB29" s="66" t="s">
        <v>100</v>
      </c>
      <c r="AC29" s="17"/>
      <c r="AD29" s="17"/>
      <c r="AE29" s="2"/>
      <c r="AF29" s="2"/>
      <c r="AG29" s="2"/>
      <c r="AH29" s="2"/>
      <c r="AI29" s="2"/>
    </row>
    <row r="30" spans="1:35" ht="15" customHeight="1" x14ac:dyDescent="0.3">
      <c r="A30" s="14"/>
      <c r="B30" s="5">
        <f t="shared" si="13"/>
        <v>21</v>
      </c>
      <c r="C30" s="55" t="s">
        <v>45</v>
      </c>
      <c r="D30" s="27"/>
      <c r="E30" s="27"/>
      <c r="F30" s="48"/>
      <c r="G30" s="48"/>
      <c r="H30" s="48"/>
      <c r="I30" s="48"/>
      <c r="J30" s="48"/>
      <c r="K30" s="38">
        <f>IF(K$23=0,J29,IF(J29&gt;K$23,J29-K$23,0))</f>
        <v>0</v>
      </c>
      <c r="L30" s="52">
        <f>IF(L$23=0,K29,IF(L$23&lt;K29,K29-L$23,0))</f>
        <v>0</v>
      </c>
      <c r="M30" s="38">
        <f t="shared" ref="M30:U30" si="17">IF(M$23=0,L29,IF(M$23&lt;L29,L29-M$23,0))</f>
        <v>0</v>
      </c>
      <c r="N30" s="56">
        <f t="shared" si="17"/>
        <v>221</v>
      </c>
      <c r="O30" s="51">
        <f t="shared" si="17"/>
        <v>6016</v>
      </c>
      <c r="P30" s="53">
        <f t="shared" si="17"/>
        <v>0</v>
      </c>
      <c r="Q30" s="38">
        <f t="shared" si="17"/>
        <v>0</v>
      </c>
      <c r="R30" s="57">
        <f t="shared" si="17"/>
        <v>0</v>
      </c>
      <c r="S30" s="38">
        <f t="shared" si="17"/>
        <v>0</v>
      </c>
      <c r="T30" s="54">
        <f t="shared" si="17"/>
        <v>0</v>
      </c>
      <c r="U30" s="38">
        <f t="shared" si="17"/>
        <v>0</v>
      </c>
      <c r="V30" s="57">
        <f>IF(V$23=0,U29,IF(V$23&lt;U29,U29-V$23,0))</f>
        <v>0</v>
      </c>
      <c r="AB30" s="66" t="s">
        <v>100</v>
      </c>
      <c r="AC30" s="17"/>
      <c r="AD30" s="17"/>
      <c r="AE30" s="2"/>
      <c r="AF30" s="2"/>
      <c r="AG30" s="2"/>
      <c r="AH30" s="2"/>
      <c r="AI30" s="2"/>
    </row>
    <row r="31" spans="1:35" ht="15" customHeight="1" x14ac:dyDescent="0.3">
      <c r="A31" s="14"/>
      <c r="B31" s="5">
        <f t="shared" si="13"/>
        <v>22</v>
      </c>
      <c r="C31" s="55" t="s">
        <v>42</v>
      </c>
      <c r="D31" s="27" t="s">
        <v>9</v>
      </c>
      <c r="E31" s="27"/>
      <c r="F31" s="38">
        <f t="shared" ref="F31:U31" si="18">IF(E31+F24-F23-F30&lt;0,0,E31+F24-F23-F30)</f>
        <v>830</v>
      </c>
      <c r="G31" s="38">
        <f t="shared" si="18"/>
        <v>21</v>
      </c>
      <c r="H31" s="38">
        <f t="shared" si="18"/>
        <v>0</v>
      </c>
      <c r="I31" s="38">
        <f t="shared" si="18"/>
        <v>4227</v>
      </c>
      <c r="J31" s="38">
        <f t="shared" si="18"/>
        <v>10243</v>
      </c>
      <c r="K31" s="38">
        <f t="shared" si="18"/>
        <v>10931</v>
      </c>
      <c r="L31" s="38">
        <f t="shared" si="18"/>
        <v>6925</v>
      </c>
      <c r="M31" s="38">
        <f t="shared" si="18"/>
        <v>7306</v>
      </c>
      <c r="N31" s="38">
        <f t="shared" si="18"/>
        <v>7179</v>
      </c>
      <c r="O31" s="38">
        <f t="shared" si="18"/>
        <v>5880</v>
      </c>
      <c r="P31" s="38">
        <f t="shared" si="18"/>
        <v>3787</v>
      </c>
      <c r="Q31" s="38">
        <f t="shared" si="18"/>
        <v>1975</v>
      </c>
      <c r="R31" s="38">
        <f t="shared" si="18"/>
        <v>0</v>
      </c>
      <c r="S31" s="38">
        <f t="shared" si="18"/>
        <v>4222</v>
      </c>
      <c r="T31" s="38">
        <f t="shared" si="18"/>
        <v>2251</v>
      </c>
      <c r="U31" s="38">
        <f t="shared" si="18"/>
        <v>1643</v>
      </c>
      <c r="V31" s="38">
        <f>IF(U31+V24-V23-V30&lt;0,0,U31+V24-V23-V30)</f>
        <v>0</v>
      </c>
      <c r="AB31" s="66" t="s">
        <v>44</v>
      </c>
      <c r="AC31" s="2"/>
      <c r="AD31" s="2"/>
      <c r="AE31" s="2"/>
      <c r="AF31" s="2"/>
      <c r="AG31" s="2"/>
      <c r="AH31" s="2"/>
      <c r="AI31" s="2"/>
    </row>
    <row r="32" spans="1:35" s="20" customFormat="1" ht="15" customHeight="1" x14ac:dyDescent="0.3">
      <c r="A32" s="14"/>
      <c r="B32" s="5"/>
      <c r="C32" s="24"/>
      <c r="D32" s="28"/>
      <c r="E32" s="13"/>
      <c r="F32" s="47"/>
      <c r="G32" s="47"/>
      <c r="H32" s="47"/>
      <c r="I32" s="47"/>
      <c r="J32" s="47"/>
      <c r="K32" s="47"/>
      <c r="L32" s="47"/>
      <c r="M32" s="47"/>
      <c r="N32" s="47"/>
      <c r="O32" s="47"/>
      <c r="P32" s="47"/>
      <c r="Q32" s="47"/>
      <c r="R32" s="47"/>
      <c r="S32" s="47"/>
      <c r="T32" s="47"/>
      <c r="U32" s="47"/>
      <c r="V32" s="47"/>
      <c r="W32"/>
      <c r="X32"/>
      <c r="Y32"/>
      <c r="Z32"/>
      <c r="AA32"/>
      <c r="AB32" s="66" t="s">
        <v>100</v>
      </c>
      <c r="AC32" s="19"/>
      <c r="AD32" s="19"/>
      <c r="AE32" s="19"/>
      <c r="AF32" s="19"/>
      <c r="AG32" s="19"/>
      <c r="AH32" s="19"/>
      <c r="AI32" s="19"/>
    </row>
    <row r="33" spans="1:35" ht="15" customHeight="1" x14ac:dyDescent="0.3">
      <c r="A33" s="31" t="s">
        <v>13</v>
      </c>
      <c r="B33" s="5"/>
      <c r="C33" s="24"/>
      <c r="D33" s="28"/>
      <c r="E33" s="70"/>
      <c r="F33" s="44"/>
      <c r="G33" s="44"/>
      <c r="H33" s="44"/>
      <c r="I33" s="44"/>
      <c r="J33" s="44"/>
      <c r="K33" s="44"/>
      <c r="L33" s="44"/>
      <c r="M33" s="44"/>
      <c r="N33" s="44"/>
      <c r="O33" s="44"/>
      <c r="P33" s="44"/>
      <c r="Q33" s="44"/>
      <c r="R33" s="44"/>
      <c r="S33" s="44"/>
      <c r="T33" s="44"/>
      <c r="U33" s="44"/>
      <c r="V33" s="44"/>
      <c r="AB33" s="66" t="s">
        <v>100</v>
      </c>
      <c r="AC33" s="2"/>
      <c r="AD33" s="2"/>
      <c r="AE33" s="2"/>
      <c r="AF33" s="2"/>
      <c r="AG33" s="2"/>
      <c r="AH33" s="2"/>
      <c r="AI33" s="2"/>
    </row>
    <row r="34" spans="1:35" ht="15" customHeight="1" x14ac:dyDescent="0.3">
      <c r="A34" s="14"/>
      <c r="B34" s="5">
        <f>B31+1</f>
        <v>23</v>
      </c>
      <c r="C34" s="55" t="s">
        <v>69</v>
      </c>
      <c r="D34" s="27" t="s">
        <v>9</v>
      </c>
      <c r="E34" s="70"/>
      <c r="F34" s="44">
        <f t="shared" ref="F34:V34" si="19">ROUND(IF(F12&gt;F15,F12-F15,0),0)</f>
        <v>0</v>
      </c>
      <c r="G34" s="44">
        <f t="shared" si="19"/>
        <v>0</v>
      </c>
      <c r="H34" s="44">
        <f t="shared" si="19"/>
        <v>0</v>
      </c>
      <c r="I34" s="44">
        <f>ROUND(IF(I12&gt;I15,I12-I15,0),0)</f>
        <v>509</v>
      </c>
      <c r="J34" s="44">
        <f t="shared" si="19"/>
        <v>2046</v>
      </c>
      <c r="K34" s="44">
        <f t="shared" si="19"/>
        <v>0</v>
      </c>
      <c r="L34" s="44">
        <f t="shared" si="19"/>
        <v>0</v>
      </c>
      <c r="M34" s="44">
        <f t="shared" si="19"/>
        <v>0</v>
      </c>
      <c r="N34" s="44">
        <f t="shared" si="19"/>
        <v>0</v>
      </c>
      <c r="O34" s="44">
        <f t="shared" si="19"/>
        <v>845</v>
      </c>
      <c r="P34" s="44">
        <f t="shared" si="19"/>
        <v>0</v>
      </c>
      <c r="Q34" s="44">
        <f t="shared" si="19"/>
        <v>0</v>
      </c>
      <c r="R34" s="44">
        <f t="shared" si="19"/>
        <v>0</v>
      </c>
      <c r="S34" s="44">
        <f t="shared" si="19"/>
        <v>1152</v>
      </c>
      <c r="T34" s="44">
        <f t="shared" si="19"/>
        <v>0</v>
      </c>
      <c r="U34" s="44">
        <f t="shared" si="19"/>
        <v>0</v>
      </c>
      <c r="V34" s="44">
        <f t="shared" si="19"/>
        <v>0</v>
      </c>
      <c r="AB34" s="66" t="s">
        <v>84</v>
      </c>
      <c r="AC34" s="2"/>
      <c r="AD34" s="2"/>
      <c r="AE34" s="2"/>
      <c r="AF34" s="2"/>
      <c r="AG34" s="2"/>
      <c r="AH34" s="2"/>
      <c r="AI34" s="2"/>
    </row>
    <row r="35" spans="1:35" ht="15" customHeight="1" x14ac:dyDescent="0.3">
      <c r="A35" s="14"/>
      <c r="B35" s="5">
        <f>B34+1</f>
        <v>24</v>
      </c>
      <c r="C35" s="55" t="s">
        <v>109</v>
      </c>
      <c r="D35" s="27" t="s">
        <v>9</v>
      </c>
      <c r="E35" s="70"/>
      <c r="F35" s="38">
        <f t="shared" ref="F35:K35" si="20">ROUND(IF(OR(F18&gt;1,F18=1),MAX(F34-F20,0),IF(F15+F20-(F18*F12)&gt;0,0,-1*(F15+F20-(F18*F12)))),0)</f>
        <v>0</v>
      </c>
      <c r="G35" s="38">
        <f t="shared" si="20"/>
        <v>0</v>
      </c>
      <c r="H35" s="38">
        <f t="shared" si="20"/>
        <v>0</v>
      </c>
      <c r="I35" s="38">
        <f t="shared" si="20"/>
        <v>272</v>
      </c>
      <c r="J35" s="38">
        <f t="shared" si="20"/>
        <v>0</v>
      </c>
      <c r="K35" s="38">
        <f t="shared" si="20"/>
        <v>0</v>
      </c>
      <c r="L35" s="38">
        <f t="shared" ref="L35:V35" si="21">ROUND(IF(OR(L18&gt;1,L18=1),MAX(L34-L20,0),IF(L15+L20-(L18*L12)&gt;0,0,-1*(L15+L20-(L18*L12)))),0)</f>
        <v>0</v>
      </c>
      <c r="M35" s="38">
        <f t="shared" si="21"/>
        <v>0</v>
      </c>
      <c r="N35" s="38">
        <f t="shared" si="21"/>
        <v>0</v>
      </c>
      <c r="O35" s="38">
        <f t="shared" si="21"/>
        <v>0</v>
      </c>
      <c r="P35" s="38">
        <f t="shared" si="21"/>
        <v>0</v>
      </c>
      <c r="Q35" s="38">
        <f t="shared" si="21"/>
        <v>0</v>
      </c>
      <c r="R35" s="38">
        <f t="shared" si="21"/>
        <v>0</v>
      </c>
      <c r="S35" s="38">
        <f t="shared" si="21"/>
        <v>725</v>
      </c>
      <c r="T35" s="38">
        <f t="shared" si="21"/>
        <v>0</v>
      </c>
      <c r="U35" s="38">
        <f t="shared" si="21"/>
        <v>0</v>
      </c>
      <c r="V35" s="38">
        <f t="shared" si="21"/>
        <v>0</v>
      </c>
      <c r="AB35" s="66" t="s">
        <v>87</v>
      </c>
      <c r="AC35" s="2"/>
      <c r="AD35" s="2"/>
      <c r="AE35" s="2"/>
      <c r="AF35" s="2"/>
      <c r="AG35" s="2"/>
      <c r="AH35" s="2"/>
      <c r="AI35" s="2"/>
    </row>
    <row r="36" spans="1:35" ht="15" customHeight="1" x14ac:dyDescent="0.3">
      <c r="A36" s="14"/>
      <c r="B36" s="5">
        <f>B35+1</f>
        <v>25</v>
      </c>
      <c r="C36" s="55" t="s">
        <v>22</v>
      </c>
      <c r="D36" s="27" t="s">
        <v>10</v>
      </c>
      <c r="E36" s="70"/>
      <c r="F36" s="58">
        <f t="shared" ref="F36:U36" si="22">ROUND(F35*F9,2)</f>
        <v>0</v>
      </c>
      <c r="G36" s="58">
        <f t="shared" si="22"/>
        <v>0</v>
      </c>
      <c r="H36" s="58">
        <f t="shared" si="22"/>
        <v>0</v>
      </c>
      <c r="I36" s="58">
        <f t="shared" si="22"/>
        <v>272</v>
      </c>
      <c r="J36" s="58">
        <f t="shared" si="22"/>
        <v>0</v>
      </c>
      <c r="K36" s="58">
        <f t="shared" si="22"/>
        <v>0</v>
      </c>
      <c r="L36" s="58">
        <f t="shared" si="22"/>
        <v>0</v>
      </c>
      <c r="M36" s="58">
        <f t="shared" si="22"/>
        <v>0</v>
      </c>
      <c r="N36" s="58">
        <f t="shared" si="22"/>
        <v>0</v>
      </c>
      <c r="O36" s="58">
        <f t="shared" si="22"/>
        <v>0</v>
      </c>
      <c r="P36" s="58">
        <f t="shared" si="22"/>
        <v>0</v>
      </c>
      <c r="Q36" s="58">
        <f t="shared" si="22"/>
        <v>0</v>
      </c>
      <c r="R36" s="58">
        <f t="shared" si="22"/>
        <v>0</v>
      </c>
      <c r="S36" s="58">
        <f t="shared" si="22"/>
        <v>41194.5</v>
      </c>
      <c r="T36" s="58">
        <f t="shared" si="22"/>
        <v>0</v>
      </c>
      <c r="U36" s="58">
        <f t="shared" si="22"/>
        <v>0</v>
      </c>
      <c r="V36" s="58">
        <f>ROUND(V35*V9,2)</f>
        <v>0</v>
      </c>
      <c r="AB36" s="66" t="s">
        <v>54</v>
      </c>
      <c r="AC36" s="2"/>
      <c r="AD36" s="2"/>
      <c r="AE36" s="2"/>
      <c r="AF36" s="2"/>
      <c r="AG36" s="2"/>
      <c r="AH36" s="2"/>
      <c r="AI36" s="2"/>
    </row>
    <row r="37" spans="1:35" ht="15" customHeight="1" x14ac:dyDescent="0.3">
      <c r="A37" s="14"/>
      <c r="B37" s="5">
        <f>B36+1</f>
        <v>26</v>
      </c>
      <c r="C37" s="55" t="s">
        <v>71</v>
      </c>
      <c r="D37" s="27" t="s">
        <v>10</v>
      </c>
      <c r="E37" s="70"/>
      <c r="F37" s="80"/>
      <c r="G37" s="80"/>
      <c r="H37" s="80"/>
      <c r="I37" s="80"/>
      <c r="J37" s="80"/>
      <c r="K37" s="81">
        <f t="shared" ref="K37:U37" si="23">IF(K30-F20&lt;0,0,ROUND((K30-F20)*F9,2))</f>
        <v>0</v>
      </c>
      <c r="L37" s="81">
        <f t="shared" si="23"/>
        <v>0</v>
      </c>
      <c r="M37" s="81">
        <f t="shared" si="23"/>
        <v>0</v>
      </c>
      <c r="N37" s="81">
        <f t="shared" si="23"/>
        <v>0</v>
      </c>
      <c r="O37" s="81">
        <f>IF(O30-J20&lt;0,0,ROUND((O30-J20)*J9,2))</f>
        <v>104962.2</v>
      </c>
      <c r="P37" s="81">
        <f t="shared" si="23"/>
        <v>0</v>
      </c>
      <c r="Q37" s="81">
        <f t="shared" si="23"/>
        <v>0</v>
      </c>
      <c r="R37" s="81">
        <f t="shared" si="23"/>
        <v>0</v>
      </c>
      <c r="S37" s="81">
        <f t="shared" si="23"/>
        <v>0</v>
      </c>
      <c r="T37" s="81">
        <f t="shared" si="23"/>
        <v>0</v>
      </c>
      <c r="U37" s="81">
        <f t="shared" si="23"/>
        <v>0</v>
      </c>
      <c r="V37" s="81">
        <f>IF(V30-Q20&lt;0,0,ROUND((V30-Q20)*Q9,2))</f>
        <v>0</v>
      </c>
      <c r="AB37" s="66" t="s">
        <v>85</v>
      </c>
      <c r="AC37" s="2"/>
      <c r="AD37" s="2"/>
      <c r="AE37" s="2"/>
      <c r="AF37" s="2"/>
      <c r="AG37" s="2"/>
      <c r="AH37" s="2"/>
      <c r="AI37" s="2"/>
    </row>
    <row r="38" spans="1:35" ht="15" customHeight="1" x14ac:dyDescent="0.3">
      <c r="A38" s="14"/>
      <c r="B38" s="5">
        <f>B37+1</f>
        <v>27</v>
      </c>
      <c r="C38" s="55" t="s">
        <v>43</v>
      </c>
      <c r="D38" s="27" t="s">
        <v>10</v>
      </c>
      <c r="E38" s="70"/>
      <c r="F38" s="58">
        <f>+F36+F37</f>
        <v>0</v>
      </c>
      <c r="G38" s="58">
        <f t="shared" ref="G38:V38" si="24">+G36+G37</f>
        <v>0</v>
      </c>
      <c r="H38" s="58">
        <f t="shared" si="24"/>
        <v>0</v>
      </c>
      <c r="I38" s="58">
        <f t="shared" si="24"/>
        <v>272</v>
      </c>
      <c r="J38" s="58">
        <f t="shared" si="24"/>
        <v>0</v>
      </c>
      <c r="K38" s="58">
        <f t="shared" si="24"/>
        <v>0</v>
      </c>
      <c r="L38" s="58">
        <f t="shared" si="24"/>
        <v>0</v>
      </c>
      <c r="M38" s="58">
        <f t="shared" si="24"/>
        <v>0</v>
      </c>
      <c r="N38" s="58">
        <f t="shared" si="24"/>
        <v>0</v>
      </c>
      <c r="O38" s="58">
        <f>+O36+O37</f>
        <v>104962.2</v>
      </c>
      <c r="P38" s="58">
        <f t="shared" si="24"/>
        <v>0</v>
      </c>
      <c r="Q38" s="58">
        <f t="shared" si="24"/>
        <v>0</v>
      </c>
      <c r="R38" s="58">
        <f t="shared" si="24"/>
        <v>0</v>
      </c>
      <c r="S38" s="58">
        <f t="shared" si="24"/>
        <v>41194.5</v>
      </c>
      <c r="T38" s="58">
        <f t="shared" si="24"/>
        <v>0</v>
      </c>
      <c r="U38" s="58">
        <f t="shared" si="24"/>
        <v>0</v>
      </c>
      <c r="V38" s="58">
        <f t="shared" si="24"/>
        <v>0</v>
      </c>
      <c r="AB38" s="66" t="s">
        <v>88</v>
      </c>
      <c r="AC38" s="2"/>
      <c r="AD38" s="2"/>
      <c r="AE38" s="2"/>
      <c r="AF38" s="2"/>
      <c r="AG38" s="2"/>
      <c r="AH38" s="2"/>
      <c r="AI38" s="2"/>
    </row>
    <row r="39" spans="1:35" ht="15" customHeight="1" x14ac:dyDescent="0.3">
      <c r="A39" s="14"/>
      <c r="B39" s="14"/>
      <c r="D39" s="28"/>
      <c r="E39" s="70"/>
      <c r="F39" s="44"/>
      <c r="G39" s="44"/>
      <c r="H39" s="44"/>
      <c r="I39" s="44"/>
      <c r="J39" s="44"/>
      <c r="K39" s="44"/>
      <c r="L39" s="44"/>
      <c r="M39" s="44"/>
      <c r="N39" s="44"/>
      <c r="O39" s="44"/>
      <c r="P39" s="44"/>
      <c r="Q39" s="44"/>
      <c r="R39" s="44"/>
      <c r="S39" s="44"/>
      <c r="T39" s="44"/>
      <c r="U39" s="44"/>
      <c r="V39" s="44"/>
      <c r="AB39" s="66" t="s">
        <v>100</v>
      </c>
      <c r="AC39" s="2"/>
      <c r="AD39" s="2"/>
      <c r="AE39" s="2"/>
      <c r="AF39" s="2"/>
      <c r="AG39" s="2"/>
      <c r="AH39" s="2"/>
      <c r="AI39" s="2"/>
    </row>
    <row r="40" spans="1:35" s="20" customFormat="1" ht="15" customHeight="1" x14ac:dyDescent="0.3">
      <c r="A40" s="31" t="s">
        <v>70</v>
      </c>
      <c r="B40" s="5"/>
      <c r="C40" s="24"/>
      <c r="D40" s="28"/>
      <c r="E40" s="13"/>
      <c r="F40" s="47"/>
      <c r="G40" s="47"/>
      <c r="H40" s="47"/>
      <c r="I40" s="47"/>
      <c r="J40" s="47"/>
      <c r="K40" s="47"/>
      <c r="L40" s="47"/>
      <c r="M40" s="47"/>
      <c r="N40" s="47"/>
      <c r="O40" s="47"/>
      <c r="P40" s="47"/>
      <c r="Q40" s="47"/>
      <c r="R40" s="47"/>
      <c r="S40" s="47"/>
      <c r="T40" s="47"/>
      <c r="U40" s="47"/>
      <c r="V40" s="47"/>
      <c r="W40"/>
      <c r="X40"/>
      <c r="Y40"/>
      <c r="Z40"/>
      <c r="AA40"/>
      <c r="AB40" s="66" t="s">
        <v>100</v>
      </c>
      <c r="AC40" s="19"/>
      <c r="AD40" s="19"/>
      <c r="AE40" s="19"/>
      <c r="AF40" s="19"/>
      <c r="AG40" s="19"/>
      <c r="AH40" s="19"/>
      <c r="AI40" s="19"/>
    </row>
    <row r="41" spans="1:35" s="20" customFormat="1" ht="15" customHeight="1" x14ac:dyDescent="0.3">
      <c r="A41" s="14"/>
      <c r="B41" s="5">
        <f>B38+1</f>
        <v>28</v>
      </c>
      <c r="C41" s="71" t="s">
        <v>56</v>
      </c>
      <c r="D41" s="28" t="s">
        <v>9</v>
      </c>
      <c r="E41" s="13"/>
      <c r="F41" s="65">
        <v>810</v>
      </c>
      <c r="G41" s="65">
        <v>0</v>
      </c>
      <c r="H41" s="65">
        <v>2602</v>
      </c>
      <c r="I41" s="65">
        <v>237</v>
      </c>
      <c r="J41" s="65">
        <v>876</v>
      </c>
      <c r="K41" s="65">
        <v>2602</v>
      </c>
      <c r="L41" s="65">
        <v>0</v>
      </c>
      <c r="M41" s="65">
        <v>237</v>
      </c>
      <c r="N41" s="65">
        <v>0</v>
      </c>
      <c r="O41" s="65">
        <v>0</v>
      </c>
      <c r="P41" s="65">
        <v>0</v>
      </c>
      <c r="Q41" s="65">
        <v>237</v>
      </c>
      <c r="R41" s="65">
        <v>0</v>
      </c>
      <c r="S41" s="65">
        <v>0</v>
      </c>
      <c r="T41" s="65">
        <v>0</v>
      </c>
      <c r="U41" s="65">
        <v>237</v>
      </c>
      <c r="V41" s="65">
        <v>0</v>
      </c>
      <c r="W41"/>
      <c r="X41"/>
      <c r="Y41"/>
      <c r="Z41"/>
      <c r="AA41"/>
      <c r="AB41" s="66" t="s">
        <v>89</v>
      </c>
      <c r="AC41" s="18"/>
      <c r="AD41" s="19"/>
      <c r="AE41" s="19"/>
      <c r="AF41" s="19"/>
      <c r="AG41" s="19"/>
      <c r="AH41" s="19"/>
      <c r="AI41" s="19"/>
    </row>
    <row r="42" spans="1:35" s="20" customFormat="1" ht="15" customHeight="1" x14ac:dyDescent="0.3">
      <c r="A42" s="14"/>
      <c r="B42" s="5">
        <f t="shared" ref="B42:B44" si="25">B41+1</f>
        <v>29</v>
      </c>
      <c r="C42" s="71" t="s">
        <v>57</v>
      </c>
      <c r="D42" s="28" t="s">
        <v>9</v>
      </c>
      <c r="E42" s="13"/>
      <c r="F42" s="64">
        <f t="shared" ref="F42:V42" si="26">ROUND(IF(F41=0,0,0.02*F11*-1),0)</f>
        <v>-810</v>
      </c>
      <c r="G42" s="64">
        <f t="shared" si="26"/>
        <v>0</v>
      </c>
      <c r="H42" s="64">
        <f t="shared" si="26"/>
        <v>-804</v>
      </c>
      <c r="I42" s="64">
        <f t="shared" si="26"/>
        <v>-798</v>
      </c>
      <c r="J42" s="64">
        <f t="shared" si="26"/>
        <v>-794</v>
      </c>
      <c r="K42" s="64">
        <f t="shared" si="26"/>
        <v>-790</v>
      </c>
      <c r="L42" s="64">
        <f t="shared" si="26"/>
        <v>0</v>
      </c>
      <c r="M42" s="64">
        <f t="shared" si="26"/>
        <v>-782</v>
      </c>
      <c r="N42" s="64">
        <f t="shared" si="26"/>
        <v>0</v>
      </c>
      <c r="O42" s="64">
        <f t="shared" si="26"/>
        <v>0</v>
      </c>
      <c r="P42" s="64">
        <f t="shared" si="26"/>
        <v>0</v>
      </c>
      <c r="Q42" s="64">
        <f t="shared" si="26"/>
        <v>-767</v>
      </c>
      <c r="R42" s="64">
        <f t="shared" si="26"/>
        <v>0</v>
      </c>
      <c r="S42" s="64">
        <f t="shared" si="26"/>
        <v>0</v>
      </c>
      <c r="T42" s="64">
        <f t="shared" si="26"/>
        <v>0</v>
      </c>
      <c r="U42" s="64">
        <f t="shared" si="26"/>
        <v>-751</v>
      </c>
      <c r="V42" s="64">
        <f t="shared" si="26"/>
        <v>0</v>
      </c>
      <c r="W42"/>
      <c r="X42"/>
      <c r="Y42"/>
      <c r="Z42"/>
      <c r="AA42"/>
      <c r="AB42" s="66" t="s">
        <v>55</v>
      </c>
      <c r="AC42" s="18"/>
      <c r="AD42" s="19"/>
      <c r="AE42" s="19"/>
      <c r="AF42" s="19"/>
      <c r="AG42" s="19"/>
      <c r="AH42" s="19"/>
      <c r="AI42" s="19"/>
    </row>
    <row r="43" spans="1:35" s="20" customFormat="1" ht="15" customHeight="1" x14ac:dyDescent="0.3">
      <c r="A43" s="14"/>
      <c r="B43" s="5">
        <f t="shared" si="25"/>
        <v>30</v>
      </c>
      <c r="C43" s="55" t="s">
        <v>67</v>
      </c>
      <c r="D43" s="28" t="s">
        <v>9</v>
      </c>
      <c r="E43" s="13"/>
      <c r="F43" s="64">
        <f>IF(F41&lt;F42*-1,0,F41+F42)</f>
        <v>0</v>
      </c>
      <c r="G43" s="64">
        <f t="shared" ref="G43:V43" si="27">IF(G41&lt;G42*-1,0,G41+G42)</f>
        <v>0</v>
      </c>
      <c r="H43" s="64">
        <f t="shared" si="27"/>
        <v>1798</v>
      </c>
      <c r="I43" s="64">
        <f t="shared" si="27"/>
        <v>0</v>
      </c>
      <c r="J43" s="64">
        <f t="shared" si="27"/>
        <v>82</v>
      </c>
      <c r="K43" s="64">
        <f t="shared" si="27"/>
        <v>1812</v>
      </c>
      <c r="L43" s="64">
        <f t="shared" si="27"/>
        <v>0</v>
      </c>
      <c r="M43" s="64">
        <f t="shared" si="27"/>
        <v>0</v>
      </c>
      <c r="N43" s="64">
        <f t="shared" si="27"/>
        <v>0</v>
      </c>
      <c r="O43" s="64">
        <f t="shared" si="27"/>
        <v>0</v>
      </c>
      <c r="P43" s="64">
        <f t="shared" si="27"/>
        <v>0</v>
      </c>
      <c r="Q43" s="64">
        <f t="shared" si="27"/>
        <v>0</v>
      </c>
      <c r="R43" s="64">
        <f t="shared" si="27"/>
        <v>0</v>
      </c>
      <c r="S43" s="64">
        <f t="shared" si="27"/>
        <v>0</v>
      </c>
      <c r="T43" s="64">
        <f t="shared" si="27"/>
        <v>0</v>
      </c>
      <c r="U43" s="64">
        <f t="shared" si="27"/>
        <v>0</v>
      </c>
      <c r="V43" s="64">
        <f t="shared" si="27"/>
        <v>0</v>
      </c>
      <c r="W43"/>
      <c r="X43"/>
      <c r="Y43"/>
      <c r="Z43"/>
      <c r="AA43"/>
      <c r="AB43" s="66" t="s">
        <v>90</v>
      </c>
      <c r="AC43" s="18"/>
      <c r="AD43" s="19"/>
      <c r="AE43" s="19"/>
      <c r="AF43" s="19"/>
      <c r="AG43" s="19"/>
      <c r="AH43" s="19"/>
      <c r="AI43" s="19"/>
    </row>
    <row r="44" spans="1:35" s="20" customFormat="1" ht="15" customHeight="1" x14ac:dyDescent="0.3">
      <c r="A44" s="14"/>
      <c r="B44" s="5">
        <f t="shared" si="25"/>
        <v>31</v>
      </c>
      <c r="C44" s="55" t="s">
        <v>59</v>
      </c>
      <c r="D44" s="28" t="s">
        <v>9</v>
      </c>
      <c r="E44" s="13"/>
      <c r="F44" s="47">
        <f t="shared" ref="F44:K44" si="28">MIN(F41,-F42)</f>
        <v>810</v>
      </c>
      <c r="G44" s="47">
        <f t="shared" si="28"/>
        <v>0</v>
      </c>
      <c r="H44" s="47">
        <f t="shared" si="28"/>
        <v>804</v>
      </c>
      <c r="I44" s="47">
        <f t="shared" si="28"/>
        <v>237</v>
      </c>
      <c r="J44" s="47">
        <f t="shared" si="28"/>
        <v>794</v>
      </c>
      <c r="K44" s="47">
        <f t="shared" si="28"/>
        <v>790</v>
      </c>
      <c r="L44" s="47">
        <f t="shared" ref="L44:V44" si="29">MIN(L41,-L42)</f>
        <v>0</v>
      </c>
      <c r="M44" s="47">
        <f t="shared" si="29"/>
        <v>237</v>
      </c>
      <c r="N44" s="47">
        <f t="shared" si="29"/>
        <v>0</v>
      </c>
      <c r="O44" s="47">
        <f t="shared" si="29"/>
        <v>0</v>
      </c>
      <c r="P44" s="47">
        <f t="shared" si="29"/>
        <v>0</v>
      </c>
      <c r="Q44" s="47">
        <f t="shared" si="29"/>
        <v>237</v>
      </c>
      <c r="R44" s="47">
        <f t="shared" si="29"/>
        <v>0</v>
      </c>
      <c r="S44" s="47">
        <f t="shared" si="29"/>
        <v>0</v>
      </c>
      <c r="T44" s="47">
        <f t="shared" si="29"/>
        <v>0</v>
      </c>
      <c r="U44" s="47">
        <f t="shared" si="29"/>
        <v>237</v>
      </c>
      <c r="V44" s="47">
        <f t="shared" si="29"/>
        <v>0</v>
      </c>
      <c r="W44"/>
      <c r="X44"/>
      <c r="Y44"/>
      <c r="Z44"/>
      <c r="AA44"/>
      <c r="AB44" s="66" t="s">
        <v>91</v>
      </c>
      <c r="AC44" s="19"/>
      <c r="AD44" s="19"/>
      <c r="AE44" s="19"/>
      <c r="AF44" s="19"/>
      <c r="AG44" s="19"/>
      <c r="AH44" s="19"/>
      <c r="AI44" s="19"/>
    </row>
    <row r="45" spans="1:35" ht="15" customHeight="1" x14ac:dyDescent="0.3">
      <c r="F45" s="1" t="s">
        <v>21</v>
      </c>
      <c r="AB45" s="66" t="s">
        <v>100</v>
      </c>
      <c r="AC45" s="2"/>
      <c r="AD45" s="2"/>
      <c r="AE45" s="2"/>
      <c r="AF45" s="2"/>
      <c r="AG45" s="2"/>
      <c r="AH45" s="2"/>
      <c r="AI45" s="2"/>
    </row>
    <row r="46" spans="1:35" ht="15" customHeight="1" x14ac:dyDescent="0.3">
      <c r="B46" s="12" t="s">
        <v>60</v>
      </c>
      <c r="D46" s="27" t="s">
        <v>7</v>
      </c>
      <c r="E46" s="2"/>
      <c r="F46" s="3">
        <v>1</v>
      </c>
      <c r="G46" s="4">
        <v>2</v>
      </c>
      <c r="H46" s="4">
        <v>3</v>
      </c>
      <c r="I46" s="4">
        <v>4</v>
      </c>
      <c r="J46" s="4">
        <v>5</v>
      </c>
      <c r="K46" s="4">
        <v>6</v>
      </c>
      <c r="L46" s="4">
        <v>7</v>
      </c>
      <c r="M46" s="4">
        <v>8</v>
      </c>
      <c r="N46" s="4">
        <v>9</v>
      </c>
      <c r="O46" s="4">
        <v>10</v>
      </c>
      <c r="P46" s="4">
        <v>11</v>
      </c>
      <c r="Q46" s="4">
        <v>12</v>
      </c>
      <c r="R46" s="4">
        <v>13</v>
      </c>
      <c r="S46" s="4">
        <v>14</v>
      </c>
      <c r="T46" s="4">
        <v>15</v>
      </c>
      <c r="U46" s="4">
        <v>16</v>
      </c>
      <c r="V46" s="4">
        <v>17</v>
      </c>
      <c r="AB46" s="66"/>
      <c r="AC46" s="2"/>
      <c r="AD46" s="2"/>
      <c r="AE46" s="2"/>
      <c r="AF46" s="2"/>
      <c r="AG46" s="2"/>
      <c r="AH46" s="2"/>
      <c r="AI46" s="2"/>
    </row>
    <row r="47" spans="1:35" s="15" customFormat="1" ht="15" customHeight="1" x14ac:dyDescent="0.3">
      <c r="A47" s="31" t="s">
        <v>23</v>
      </c>
      <c r="B47" s="29"/>
      <c r="C47" s="34"/>
      <c r="D47" s="35"/>
      <c r="E47" s="35"/>
      <c r="F47" s="50"/>
      <c r="G47" s="49"/>
      <c r="H47" s="50"/>
      <c r="I47" s="50"/>
      <c r="J47" s="50"/>
      <c r="K47" s="50"/>
      <c r="L47" s="50"/>
      <c r="M47" s="50"/>
      <c r="N47" s="50"/>
      <c r="O47" s="50"/>
      <c r="P47" s="50"/>
      <c r="Q47" s="50"/>
      <c r="R47" s="50"/>
      <c r="S47" s="50"/>
      <c r="T47" s="50"/>
      <c r="U47" s="50"/>
      <c r="V47" s="50"/>
      <c r="W47"/>
      <c r="X47"/>
      <c r="Y47"/>
      <c r="Z47"/>
      <c r="AA47"/>
      <c r="AB47" s="66" t="s">
        <v>100</v>
      </c>
      <c r="AC47" s="30"/>
      <c r="AD47" s="30"/>
      <c r="AE47" s="30"/>
      <c r="AF47" s="30"/>
      <c r="AG47" s="30"/>
      <c r="AH47" s="30"/>
      <c r="AI47" s="30"/>
    </row>
    <row r="48" spans="1:35" ht="15" customHeight="1" x14ac:dyDescent="0.3">
      <c r="A48" s="82" t="s">
        <v>3</v>
      </c>
      <c r="D48" s="37"/>
      <c r="E48" s="72"/>
      <c r="F48" s="44"/>
      <c r="G48" s="44"/>
      <c r="H48" s="44"/>
      <c r="I48" s="44"/>
      <c r="J48" s="44"/>
      <c r="K48" s="44"/>
      <c r="L48" s="44"/>
      <c r="M48" s="44"/>
      <c r="N48" s="44"/>
      <c r="O48" s="44"/>
      <c r="P48" s="44"/>
      <c r="Q48" s="44"/>
      <c r="R48" s="44"/>
      <c r="S48" s="44"/>
      <c r="T48" s="44"/>
      <c r="U48" s="44"/>
      <c r="V48" s="44"/>
      <c r="AB48" s="66" t="s">
        <v>100</v>
      </c>
      <c r="AC48" s="2"/>
      <c r="AD48" s="2"/>
      <c r="AE48" s="2"/>
      <c r="AF48" s="2"/>
      <c r="AG48" s="2"/>
      <c r="AH48" s="2"/>
      <c r="AI48" s="2"/>
    </row>
    <row r="49" spans="1:35" ht="15" customHeight="1" x14ac:dyDescent="0.3">
      <c r="A49" s="14"/>
      <c r="B49" s="5">
        <f>B44+1</f>
        <v>32</v>
      </c>
      <c r="C49" s="55" t="s">
        <v>4</v>
      </c>
      <c r="D49" s="27" t="s">
        <v>9</v>
      </c>
      <c r="E49" s="72"/>
      <c r="F49" s="44">
        <f t="shared" ref="F49:V49" si="30">+F23</f>
        <v>0</v>
      </c>
      <c r="G49" s="44">
        <f t="shared" si="30"/>
        <v>809</v>
      </c>
      <c r="H49" s="44">
        <f t="shared" si="30"/>
        <v>1606</v>
      </c>
      <c r="I49" s="44">
        <f t="shared" si="30"/>
        <v>0</v>
      </c>
      <c r="J49" s="44">
        <f t="shared" si="30"/>
        <v>0</v>
      </c>
      <c r="K49" s="44">
        <f t="shared" si="30"/>
        <v>0</v>
      </c>
      <c r="L49" s="44">
        <f t="shared" si="30"/>
        <v>4006</v>
      </c>
      <c r="M49" s="44">
        <f t="shared" si="30"/>
        <v>0</v>
      </c>
      <c r="N49" s="44">
        <f t="shared" si="30"/>
        <v>0</v>
      </c>
      <c r="O49" s="44">
        <f t="shared" si="30"/>
        <v>0</v>
      </c>
      <c r="P49" s="44">
        <f t="shared" si="30"/>
        <v>2093</v>
      </c>
      <c r="Q49" s="44">
        <f t="shared" si="30"/>
        <v>1812</v>
      </c>
      <c r="R49" s="44">
        <f t="shared" si="30"/>
        <v>3862</v>
      </c>
      <c r="S49" s="44">
        <f t="shared" si="30"/>
        <v>0</v>
      </c>
      <c r="T49" s="44">
        <f t="shared" si="30"/>
        <v>1971</v>
      </c>
      <c r="U49" s="44">
        <f t="shared" si="30"/>
        <v>608</v>
      </c>
      <c r="V49" s="44">
        <f t="shared" si="30"/>
        <v>3199</v>
      </c>
      <c r="AB49" s="66" t="s">
        <v>100</v>
      </c>
      <c r="AC49" s="2"/>
      <c r="AD49" s="2"/>
      <c r="AE49" s="2"/>
      <c r="AF49" s="2"/>
      <c r="AG49" s="2"/>
      <c r="AH49" s="2"/>
      <c r="AI49" s="2"/>
    </row>
    <row r="50" spans="1:35" ht="15" customHeight="1" x14ac:dyDescent="0.3">
      <c r="A50" s="14"/>
      <c r="B50" s="5">
        <f t="shared" ref="B50:B69" si="31">B49+1</f>
        <v>33</v>
      </c>
      <c r="C50" s="55" t="s">
        <v>5</v>
      </c>
      <c r="D50" s="27" t="s">
        <v>9</v>
      </c>
      <c r="E50" s="70"/>
      <c r="F50" s="44">
        <f t="shared" ref="F50:V50" si="32">IF(F15&lt;F11,F15,F11)</f>
        <v>39672</v>
      </c>
      <c r="G50" s="44">
        <f t="shared" si="32"/>
        <v>40301</v>
      </c>
      <c r="H50" s="44">
        <f t="shared" si="32"/>
        <v>40192</v>
      </c>
      <c r="I50" s="44">
        <f t="shared" si="32"/>
        <v>35400</v>
      </c>
      <c r="J50" s="44">
        <f t="shared" si="32"/>
        <v>33682</v>
      </c>
      <c r="K50" s="44">
        <f t="shared" si="32"/>
        <v>38812</v>
      </c>
      <c r="L50" s="44">
        <f t="shared" si="32"/>
        <v>39394</v>
      </c>
      <c r="M50" s="44">
        <f t="shared" si="32"/>
        <v>38726</v>
      </c>
      <c r="N50" s="44">
        <f t="shared" si="32"/>
        <v>38815</v>
      </c>
      <c r="O50" s="44">
        <f t="shared" si="32"/>
        <v>34000</v>
      </c>
      <c r="P50" s="44">
        <f t="shared" si="32"/>
        <v>38611</v>
      </c>
      <c r="Q50" s="44">
        <f t="shared" si="32"/>
        <v>38330</v>
      </c>
      <c r="R50" s="44">
        <f t="shared" si="32"/>
        <v>38138</v>
      </c>
      <c r="S50" s="44">
        <f t="shared" si="32"/>
        <v>33000</v>
      </c>
      <c r="T50" s="44">
        <f t="shared" si="32"/>
        <v>37846</v>
      </c>
      <c r="U50" s="44">
        <f t="shared" si="32"/>
        <v>37568</v>
      </c>
      <c r="V50" s="44">
        <f t="shared" si="32"/>
        <v>37383</v>
      </c>
      <c r="AB50" s="66" t="s">
        <v>100</v>
      </c>
      <c r="AC50" s="2"/>
      <c r="AD50" s="2"/>
      <c r="AE50" s="2"/>
      <c r="AF50" s="2"/>
      <c r="AG50" s="2"/>
      <c r="AH50" s="2"/>
      <c r="AI50" s="2"/>
    </row>
    <row r="51" spans="1:35" ht="15" customHeight="1" x14ac:dyDescent="0.3">
      <c r="A51" s="14"/>
      <c r="B51" s="5">
        <f t="shared" si="31"/>
        <v>34</v>
      </c>
      <c r="C51" s="55" t="s">
        <v>38</v>
      </c>
      <c r="D51" s="27" t="s">
        <v>9</v>
      </c>
      <c r="E51" s="27"/>
      <c r="F51" s="48"/>
      <c r="G51" s="44">
        <f t="shared" ref="G51:V51" si="33">IF(G$49=0,0,F24-G26)</f>
        <v>809</v>
      </c>
      <c r="H51" s="44">
        <f t="shared" si="33"/>
        <v>0</v>
      </c>
      <c r="I51" s="44">
        <f t="shared" si="33"/>
        <v>0</v>
      </c>
      <c r="J51" s="44">
        <f t="shared" si="33"/>
        <v>0</v>
      </c>
      <c r="K51" s="44">
        <f t="shared" si="33"/>
        <v>0</v>
      </c>
      <c r="L51" s="44">
        <f t="shared" si="33"/>
        <v>0</v>
      </c>
      <c r="M51" s="44">
        <f t="shared" si="33"/>
        <v>0</v>
      </c>
      <c r="N51" s="44">
        <f t="shared" si="33"/>
        <v>0</v>
      </c>
      <c r="O51" s="44">
        <f t="shared" si="33"/>
        <v>0</v>
      </c>
      <c r="P51" s="44">
        <f t="shared" si="33"/>
        <v>930</v>
      </c>
      <c r="Q51" s="44">
        <f t="shared" si="33"/>
        <v>0</v>
      </c>
      <c r="R51" s="44">
        <f t="shared" si="33"/>
        <v>0</v>
      </c>
      <c r="S51" s="44">
        <f t="shared" si="33"/>
        <v>0</v>
      </c>
      <c r="T51" s="44">
        <f t="shared" si="33"/>
        <v>1971</v>
      </c>
      <c r="U51" s="44">
        <f t="shared" si="33"/>
        <v>0</v>
      </c>
      <c r="V51" s="44">
        <f t="shared" si="33"/>
        <v>0</v>
      </c>
      <c r="AB51" s="66" t="s">
        <v>100</v>
      </c>
      <c r="AC51" s="2"/>
      <c r="AD51" s="2"/>
      <c r="AE51" s="2"/>
      <c r="AF51" s="2"/>
      <c r="AG51" s="2"/>
      <c r="AH51" s="2"/>
      <c r="AI51" s="2"/>
    </row>
    <row r="52" spans="1:35" ht="15" customHeight="1" x14ac:dyDescent="0.3">
      <c r="A52" s="14"/>
      <c r="B52" s="5">
        <f t="shared" si="31"/>
        <v>35</v>
      </c>
      <c r="C52" s="55" t="s">
        <v>39</v>
      </c>
      <c r="D52" s="27" t="s">
        <v>9</v>
      </c>
      <c r="E52" s="13"/>
      <c r="F52" s="48"/>
      <c r="G52" s="48"/>
      <c r="H52" s="44">
        <f t="shared" ref="H52:V52" si="34">IF(H$49=0,0,G26-H27)</f>
        <v>21</v>
      </c>
      <c r="I52" s="44">
        <f t="shared" si="34"/>
        <v>0</v>
      </c>
      <c r="J52" s="44">
        <f t="shared" si="34"/>
        <v>0</v>
      </c>
      <c r="K52" s="44">
        <f t="shared" si="34"/>
        <v>0</v>
      </c>
      <c r="L52" s="44">
        <f t="shared" si="34"/>
        <v>0</v>
      </c>
      <c r="M52" s="44">
        <f t="shared" si="34"/>
        <v>0</v>
      </c>
      <c r="N52" s="44">
        <f t="shared" si="34"/>
        <v>0</v>
      </c>
      <c r="O52" s="44">
        <f t="shared" si="34"/>
        <v>0</v>
      </c>
      <c r="P52" s="44">
        <f t="shared" si="34"/>
        <v>94</v>
      </c>
      <c r="Q52" s="44">
        <f t="shared" si="34"/>
        <v>1812</v>
      </c>
      <c r="R52" s="44">
        <f t="shared" si="34"/>
        <v>0</v>
      </c>
      <c r="S52" s="44">
        <f t="shared" si="34"/>
        <v>0</v>
      </c>
      <c r="T52" s="44">
        <f t="shared" si="34"/>
        <v>0</v>
      </c>
      <c r="U52" s="44">
        <f t="shared" si="34"/>
        <v>608</v>
      </c>
      <c r="V52" s="44">
        <f t="shared" si="34"/>
        <v>0</v>
      </c>
      <c r="AB52" s="66" t="s">
        <v>100</v>
      </c>
      <c r="AC52" s="2"/>
      <c r="AD52" s="2"/>
      <c r="AE52" s="2"/>
      <c r="AF52" s="2"/>
      <c r="AG52" s="2"/>
      <c r="AH52" s="2"/>
      <c r="AI52" s="2"/>
    </row>
    <row r="53" spans="1:35" ht="15" customHeight="1" x14ac:dyDescent="0.3">
      <c r="A53" s="14"/>
      <c r="B53" s="5">
        <f t="shared" si="31"/>
        <v>36</v>
      </c>
      <c r="C53" s="55" t="s">
        <v>40</v>
      </c>
      <c r="D53" s="27" t="s">
        <v>9</v>
      </c>
      <c r="E53" s="70"/>
      <c r="F53" s="48"/>
      <c r="G53" s="48"/>
      <c r="H53" s="48"/>
      <c r="I53" s="44">
        <f t="shared" ref="I53:V53" si="35">IF(I$49=0,0,H27-I28)</f>
        <v>0</v>
      </c>
      <c r="J53" s="44">
        <f t="shared" si="35"/>
        <v>0</v>
      </c>
      <c r="K53" s="44">
        <f t="shared" si="35"/>
        <v>0</v>
      </c>
      <c r="L53" s="44">
        <f t="shared" si="35"/>
        <v>4006</v>
      </c>
      <c r="M53" s="44">
        <f t="shared" si="35"/>
        <v>0</v>
      </c>
      <c r="N53" s="44">
        <f t="shared" si="35"/>
        <v>0</v>
      </c>
      <c r="O53" s="44">
        <f t="shared" si="35"/>
        <v>0</v>
      </c>
      <c r="P53" s="44">
        <f t="shared" si="35"/>
        <v>381</v>
      </c>
      <c r="Q53" s="44">
        <f t="shared" si="35"/>
        <v>0</v>
      </c>
      <c r="R53" s="44">
        <f t="shared" si="35"/>
        <v>1975</v>
      </c>
      <c r="S53" s="44">
        <f t="shared" si="35"/>
        <v>0</v>
      </c>
      <c r="T53" s="44">
        <f t="shared" si="35"/>
        <v>0</v>
      </c>
      <c r="U53" s="44">
        <f t="shared" si="35"/>
        <v>0</v>
      </c>
      <c r="V53" s="44">
        <f t="shared" si="35"/>
        <v>1643</v>
      </c>
      <c r="AB53" s="66" t="s">
        <v>100</v>
      </c>
      <c r="AC53" s="2"/>
      <c r="AD53" s="2"/>
      <c r="AE53" s="2"/>
      <c r="AF53" s="2"/>
      <c r="AG53" s="2"/>
      <c r="AH53" s="2"/>
      <c r="AI53" s="2"/>
    </row>
    <row r="54" spans="1:35" ht="15" customHeight="1" x14ac:dyDescent="0.3">
      <c r="A54" s="14"/>
      <c r="B54" s="5">
        <f t="shared" si="31"/>
        <v>37</v>
      </c>
      <c r="C54" s="55" t="s">
        <v>41</v>
      </c>
      <c r="D54" s="27" t="s">
        <v>9</v>
      </c>
      <c r="E54" s="27"/>
      <c r="F54" s="48"/>
      <c r="G54" s="48"/>
      <c r="H54" s="48"/>
      <c r="I54" s="48"/>
      <c r="J54" s="44">
        <f t="shared" ref="J54:V54" si="36">IF(J$49=0,0,I28-J29)</f>
        <v>0</v>
      </c>
      <c r="K54" s="44">
        <f t="shared" si="36"/>
        <v>0</v>
      </c>
      <c r="L54" s="44">
        <f t="shared" si="36"/>
        <v>0</v>
      </c>
      <c r="M54" s="44">
        <f t="shared" si="36"/>
        <v>0</v>
      </c>
      <c r="N54" s="44">
        <f t="shared" si="36"/>
        <v>0</v>
      </c>
      <c r="O54" s="44">
        <f t="shared" si="36"/>
        <v>0</v>
      </c>
      <c r="P54" s="44">
        <f t="shared" si="36"/>
        <v>0</v>
      </c>
      <c r="Q54" s="44">
        <f t="shared" si="36"/>
        <v>0</v>
      </c>
      <c r="R54" s="44">
        <f t="shared" si="36"/>
        <v>0</v>
      </c>
      <c r="S54" s="44">
        <f t="shared" si="36"/>
        <v>0</v>
      </c>
      <c r="T54" s="44">
        <f t="shared" si="36"/>
        <v>0</v>
      </c>
      <c r="U54" s="44">
        <f t="shared" si="36"/>
        <v>0</v>
      </c>
      <c r="V54" s="44">
        <f t="shared" si="36"/>
        <v>0</v>
      </c>
      <c r="AB54" s="66" t="s">
        <v>100</v>
      </c>
      <c r="AC54" s="2"/>
      <c r="AD54" s="2"/>
      <c r="AE54" s="2"/>
      <c r="AF54" s="2"/>
      <c r="AG54" s="2"/>
      <c r="AH54" s="2"/>
      <c r="AI54" s="2"/>
    </row>
    <row r="55" spans="1:35" ht="15" customHeight="1" x14ac:dyDescent="0.3">
      <c r="A55" s="14"/>
      <c r="B55" s="5">
        <f t="shared" si="31"/>
        <v>38</v>
      </c>
      <c r="C55" s="55" t="s">
        <v>45</v>
      </c>
      <c r="D55" s="27" t="s">
        <v>9</v>
      </c>
      <c r="E55" s="27"/>
      <c r="F55" s="48"/>
      <c r="G55" s="48"/>
      <c r="H55" s="48"/>
      <c r="I55" s="48"/>
      <c r="J55" s="48"/>
      <c r="K55" s="44">
        <f t="shared" ref="K55:V55" si="37">IF(K$49=0,0,J29-K30)</f>
        <v>0</v>
      </c>
      <c r="L55" s="44">
        <f t="shared" si="37"/>
        <v>0</v>
      </c>
      <c r="M55" s="44">
        <f t="shared" si="37"/>
        <v>0</v>
      </c>
      <c r="N55" s="44">
        <f t="shared" si="37"/>
        <v>0</v>
      </c>
      <c r="O55" s="44">
        <f t="shared" si="37"/>
        <v>0</v>
      </c>
      <c r="P55" s="44">
        <f t="shared" si="37"/>
        <v>688</v>
      </c>
      <c r="Q55" s="44">
        <f t="shared" si="37"/>
        <v>0</v>
      </c>
      <c r="R55" s="44">
        <f t="shared" si="37"/>
        <v>0</v>
      </c>
      <c r="S55" s="44">
        <f t="shared" si="37"/>
        <v>0</v>
      </c>
      <c r="T55" s="44">
        <f t="shared" si="37"/>
        <v>0</v>
      </c>
      <c r="U55" s="44">
        <f t="shared" si="37"/>
        <v>0</v>
      </c>
      <c r="V55" s="44">
        <f t="shared" si="37"/>
        <v>0</v>
      </c>
      <c r="AB55" s="66" t="s">
        <v>100</v>
      </c>
      <c r="AC55" s="2"/>
      <c r="AD55" s="2"/>
      <c r="AE55" s="2"/>
      <c r="AF55" s="2"/>
      <c r="AG55" s="2"/>
      <c r="AH55" s="2"/>
      <c r="AI55" s="2"/>
    </row>
    <row r="56" spans="1:35" ht="15" customHeight="1" x14ac:dyDescent="0.3">
      <c r="A56" s="14"/>
      <c r="B56" s="5">
        <f t="shared" si="31"/>
        <v>39</v>
      </c>
      <c r="C56" s="55" t="s">
        <v>104</v>
      </c>
      <c r="D56" s="27" t="s">
        <v>9</v>
      </c>
      <c r="E56" s="27"/>
      <c r="F56" s="48"/>
      <c r="G56" s="48"/>
      <c r="H56" s="48"/>
      <c r="I56" s="48"/>
      <c r="J56" s="48"/>
      <c r="K56" s="44"/>
      <c r="L56" s="44"/>
      <c r="M56" s="44"/>
      <c r="N56" s="44"/>
      <c r="O56" s="44"/>
      <c r="P56" s="44"/>
      <c r="Q56" s="44"/>
      <c r="R56" s="45">
        <f>J83</f>
        <v>794</v>
      </c>
      <c r="S56" s="44"/>
      <c r="T56" s="44"/>
      <c r="U56" s="44"/>
      <c r="V56" s="44"/>
      <c r="AB56" s="66" t="s">
        <v>105</v>
      </c>
      <c r="AC56" s="2"/>
      <c r="AD56" s="2"/>
      <c r="AE56" s="2"/>
      <c r="AF56" s="2"/>
      <c r="AG56" s="2"/>
      <c r="AH56" s="2"/>
      <c r="AI56" s="2"/>
    </row>
    <row r="57" spans="1:35" ht="15" customHeight="1" x14ac:dyDescent="0.3">
      <c r="A57" s="14"/>
      <c r="B57" s="5">
        <f t="shared" si="31"/>
        <v>40</v>
      </c>
      <c r="C57" s="55" t="s">
        <v>81</v>
      </c>
      <c r="D57" s="27" t="s">
        <v>9</v>
      </c>
      <c r="E57" s="13"/>
      <c r="F57" s="84">
        <f t="shared" ref="F57:Q57" si="38">IF(F49&gt;0,F49-SUM(F51:F56),0)</f>
        <v>0</v>
      </c>
      <c r="G57" s="84">
        <f t="shared" si="38"/>
        <v>0</v>
      </c>
      <c r="H57" s="84">
        <f t="shared" si="38"/>
        <v>1585</v>
      </c>
      <c r="I57" s="84">
        <f t="shared" si="38"/>
        <v>0</v>
      </c>
      <c r="J57" s="84">
        <f t="shared" si="38"/>
        <v>0</v>
      </c>
      <c r="K57" s="84">
        <f t="shared" si="38"/>
        <v>0</v>
      </c>
      <c r="L57" s="84">
        <f t="shared" si="38"/>
        <v>0</v>
      </c>
      <c r="M57" s="84">
        <f t="shared" si="38"/>
        <v>0</v>
      </c>
      <c r="N57" s="84">
        <f t="shared" si="38"/>
        <v>0</v>
      </c>
      <c r="O57" s="84">
        <f t="shared" si="38"/>
        <v>0</v>
      </c>
      <c r="P57" s="84">
        <f t="shared" si="38"/>
        <v>0</v>
      </c>
      <c r="Q57" s="84">
        <f t="shared" si="38"/>
        <v>0</v>
      </c>
      <c r="R57" s="84">
        <f>IF(R49&gt;0,R49-SUM(R51:R56),0)</f>
        <v>1093</v>
      </c>
      <c r="S57" s="84">
        <f t="shared" ref="S57:V57" si="39">IF(S49&gt;0,S49-SUM(S51:S56),0)</f>
        <v>0</v>
      </c>
      <c r="T57" s="84">
        <f t="shared" si="39"/>
        <v>0</v>
      </c>
      <c r="U57" s="84">
        <f t="shared" si="39"/>
        <v>0</v>
      </c>
      <c r="V57" s="84">
        <f t="shared" si="39"/>
        <v>1556</v>
      </c>
      <c r="AB57" s="66" t="s">
        <v>100</v>
      </c>
      <c r="AC57" s="2"/>
      <c r="AD57" s="2"/>
      <c r="AE57" s="2"/>
      <c r="AF57" s="2"/>
      <c r="AG57" s="2"/>
      <c r="AH57" s="2"/>
      <c r="AI57" s="2"/>
    </row>
    <row r="58" spans="1:35" ht="15" customHeight="1" x14ac:dyDescent="0.3">
      <c r="A58" s="14"/>
      <c r="B58" s="5">
        <f t="shared" si="31"/>
        <v>41</v>
      </c>
      <c r="C58" s="55" t="s">
        <v>77</v>
      </c>
      <c r="D58" s="27" t="s">
        <v>9</v>
      </c>
      <c r="E58" s="13"/>
      <c r="F58" s="44">
        <f>SUM(F50:F57)</f>
        <v>39672</v>
      </c>
      <c r="G58" s="44">
        <f t="shared" ref="G58:V58" si="40">SUM(G50:G57)</f>
        <v>41110</v>
      </c>
      <c r="H58" s="44">
        <f t="shared" si="40"/>
        <v>41798</v>
      </c>
      <c r="I58" s="44">
        <f t="shared" si="40"/>
        <v>35400</v>
      </c>
      <c r="J58" s="44">
        <f t="shared" si="40"/>
        <v>33682</v>
      </c>
      <c r="K58" s="44">
        <f t="shared" si="40"/>
        <v>38812</v>
      </c>
      <c r="L58" s="44">
        <f t="shared" si="40"/>
        <v>43400</v>
      </c>
      <c r="M58" s="44">
        <f t="shared" si="40"/>
        <v>38726</v>
      </c>
      <c r="N58" s="44">
        <f t="shared" si="40"/>
        <v>38815</v>
      </c>
      <c r="O58" s="44">
        <f t="shared" si="40"/>
        <v>34000</v>
      </c>
      <c r="P58" s="44">
        <f t="shared" si="40"/>
        <v>40704</v>
      </c>
      <c r="Q58" s="44">
        <f t="shared" si="40"/>
        <v>40142</v>
      </c>
      <c r="R58" s="44">
        <f t="shared" si="40"/>
        <v>42000</v>
      </c>
      <c r="S58" s="44">
        <f t="shared" si="40"/>
        <v>33000</v>
      </c>
      <c r="T58" s="44">
        <f t="shared" si="40"/>
        <v>39817</v>
      </c>
      <c r="U58" s="44">
        <f t="shared" si="40"/>
        <v>38176</v>
      </c>
      <c r="V58" s="44">
        <f t="shared" si="40"/>
        <v>40582</v>
      </c>
      <c r="AB58" s="66" t="s">
        <v>100</v>
      </c>
      <c r="AC58" s="2"/>
      <c r="AD58" s="2"/>
      <c r="AE58" s="2"/>
      <c r="AF58" s="2"/>
      <c r="AG58" s="2"/>
      <c r="AH58" s="2"/>
      <c r="AI58" s="2"/>
    </row>
    <row r="59" spans="1:35" ht="15" customHeight="1" x14ac:dyDescent="0.3">
      <c r="A59" s="14"/>
      <c r="B59" s="5"/>
      <c r="C59" s="55"/>
      <c r="D59" s="27"/>
      <c r="E59" s="13"/>
      <c r="F59" s="44"/>
      <c r="G59" s="44"/>
      <c r="H59" s="44"/>
      <c r="I59" s="44"/>
      <c r="J59" s="44"/>
      <c r="K59" s="44"/>
      <c r="L59" s="44"/>
      <c r="M59" s="44"/>
      <c r="N59" s="44"/>
      <c r="O59" s="44"/>
      <c r="P59" s="44"/>
      <c r="Q59" s="44"/>
      <c r="R59" s="44"/>
      <c r="S59" s="44"/>
      <c r="T59" s="44"/>
      <c r="U59" s="44"/>
      <c r="V59" s="44"/>
      <c r="AB59" s="66" t="s">
        <v>100</v>
      </c>
      <c r="AC59" s="2"/>
      <c r="AD59" s="2"/>
      <c r="AE59" s="2"/>
      <c r="AF59" s="2"/>
      <c r="AG59" s="2"/>
      <c r="AH59" s="2"/>
      <c r="AI59" s="2"/>
    </row>
    <row r="60" spans="1:35" ht="15" customHeight="1" x14ac:dyDescent="0.3">
      <c r="A60" s="82" t="s">
        <v>102</v>
      </c>
      <c r="B60" s="5"/>
      <c r="C60" s="36"/>
      <c r="D60" s="37"/>
      <c r="E60" s="13"/>
      <c r="F60" s="44"/>
      <c r="G60" s="44"/>
      <c r="H60" s="44"/>
      <c r="I60" s="44"/>
      <c r="J60" s="44"/>
      <c r="K60" s="44"/>
      <c r="L60" s="44"/>
      <c r="M60" s="44"/>
      <c r="N60" s="44"/>
      <c r="O60" s="44"/>
      <c r="P60" s="44"/>
      <c r="Q60" s="44"/>
      <c r="R60" s="44"/>
      <c r="S60" s="44"/>
      <c r="T60" s="44"/>
      <c r="U60" s="44"/>
      <c r="V60" s="44"/>
      <c r="AB60" s="66" t="s">
        <v>100</v>
      </c>
      <c r="AC60" s="2"/>
      <c r="AD60" s="2"/>
      <c r="AE60" s="2"/>
      <c r="AF60" s="2"/>
      <c r="AG60" s="2"/>
      <c r="AH60" s="2"/>
      <c r="AI60" s="2"/>
    </row>
    <row r="61" spans="1:35" ht="15" customHeight="1" x14ac:dyDescent="0.3">
      <c r="A61" s="14"/>
      <c r="B61" s="5">
        <f>B58+1</f>
        <v>42</v>
      </c>
      <c r="C61" s="55" t="s">
        <v>5</v>
      </c>
      <c r="D61" s="28" t="s">
        <v>10</v>
      </c>
      <c r="E61" s="13"/>
      <c r="F61" s="58">
        <f t="shared" ref="F61:V61" si="41">+F7*F50</f>
        <v>7775712</v>
      </c>
      <c r="G61" s="58">
        <f t="shared" si="41"/>
        <v>7939297</v>
      </c>
      <c r="H61" s="58">
        <f t="shared" si="41"/>
        <v>7958016</v>
      </c>
      <c r="I61" s="58">
        <f t="shared" si="41"/>
        <v>7044600</v>
      </c>
      <c r="J61" s="58">
        <f t="shared" si="41"/>
        <v>6733031.7999999998</v>
      </c>
      <c r="K61" s="58">
        <f t="shared" si="41"/>
        <v>7797330.7999999998</v>
      </c>
      <c r="L61" s="58">
        <f t="shared" si="41"/>
        <v>7953648.6000000006</v>
      </c>
      <c r="M61" s="58">
        <f t="shared" si="41"/>
        <v>7861378</v>
      </c>
      <c r="N61" s="58">
        <f t="shared" si="41"/>
        <v>7918260</v>
      </c>
      <c r="O61" s="58">
        <f t="shared" si="41"/>
        <v>6970000</v>
      </c>
      <c r="P61" s="58">
        <f t="shared" si="41"/>
        <v>7953866</v>
      </c>
      <c r="Q61" s="58">
        <f t="shared" si="41"/>
        <v>7934310</v>
      </c>
      <c r="R61" s="58">
        <f t="shared" si="41"/>
        <v>7936517.7999999998</v>
      </c>
      <c r="S61" s="58">
        <f t="shared" si="41"/>
        <v>6900300</v>
      </c>
      <c r="T61" s="58">
        <f t="shared" si="41"/>
        <v>7955229.1999999993</v>
      </c>
      <c r="U61" s="58">
        <f t="shared" si="41"/>
        <v>7934361.5999999996</v>
      </c>
      <c r="V61" s="58">
        <f t="shared" si="41"/>
        <v>7936410.9000000004</v>
      </c>
      <c r="AB61" s="66" t="s">
        <v>100</v>
      </c>
    </row>
    <row r="62" spans="1:35" ht="15" customHeight="1" x14ac:dyDescent="0.3">
      <c r="A62" s="14"/>
      <c r="B62" s="5">
        <f t="shared" si="31"/>
        <v>43</v>
      </c>
      <c r="C62" s="55" t="s">
        <v>38</v>
      </c>
      <c r="D62" s="28" t="s">
        <v>10</v>
      </c>
      <c r="E62" s="13"/>
      <c r="F62" s="61"/>
      <c r="G62" s="60">
        <f>IF(G51&lt;F$20,G51*G7,F20*G7+(G51-F20)*F7)</f>
        <v>159373</v>
      </c>
      <c r="H62" s="60">
        <f t="shared" ref="H62:V62" si="42">IF(H51&lt;G$20,H51*H7,G20*H7+(H51-G20)*G7)</f>
        <v>0</v>
      </c>
      <c r="I62" s="60">
        <f t="shared" si="42"/>
        <v>0</v>
      </c>
      <c r="J62" s="60">
        <f t="shared" si="42"/>
        <v>0</v>
      </c>
      <c r="K62" s="60">
        <f t="shared" si="42"/>
        <v>0</v>
      </c>
      <c r="L62" s="60">
        <f t="shared" si="42"/>
        <v>0</v>
      </c>
      <c r="M62" s="60">
        <f t="shared" si="42"/>
        <v>0</v>
      </c>
      <c r="N62" s="60">
        <f t="shared" si="42"/>
        <v>0</v>
      </c>
      <c r="O62" s="60">
        <f t="shared" si="42"/>
        <v>0</v>
      </c>
      <c r="P62" s="60">
        <f t="shared" si="42"/>
        <v>190650</v>
      </c>
      <c r="Q62" s="60">
        <f t="shared" si="42"/>
        <v>0</v>
      </c>
      <c r="R62" s="60">
        <f t="shared" si="42"/>
        <v>0</v>
      </c>
      <c r="S62" s="60">
        <f t="shared" si="42"/>
        <v>0</v>
      </c>
      <c r="T62" s="60">
        <f t="shared" si="42"/>
        <v>412136.1</v>
      </c>
      <c r="U62" s="60">
        <f t="shared" si="42"/>
        <v>0</v>
      </c>
      <c r="V62" s="60">
        <f t="shared" si="42"/>
        <v>0</v>
      </c>
      <c r="AB62" s="66" t="s">
        <v>100</v>
      </c>
    </row>
    <row r="63" spans="1:35" ht="15" customHeight="1" x14ac:dyDescent="0.3">
      <c r="A63" s="14"/>
      <c r="B63" s="5">
        <f t="shared" si="31"/>
        <v>44</v>
      </c>
      <c r="C63" s="55" t="s">
        <v>39</v>
      </c>
      <c r="D63" s="28" t="s">
        <v>10</v>
      </c>
      <c r="E63" s="13"/>
      <c r="F63" s="61"/>
      <c r="G63" s="61"/>
      <c r="H63" s="60">
        <f>IF(G51&gt;F$20,H52*F$7,MIN((F$20-G51),H52)*H$7+IF(H52&gt;(F$20-G51),(H52-(F$20-G51))*F$7,0))</f>
        <v>4118</v>
      </c>
      <c r="I63" s="60">
        <f>IF(H51&gt;G$20,I52*G$7,MIN((G$20-H51),I52)*I$7+IF(I52&gt;(G$20-H51),(I52-(G$20-H51))*G$7,0))</f>
        <v>0</v>
      </c>
      <c r="J63" s="60">
        <f t="shared" ref="J63:V63" si="43">IF(I51&gt;H$20,J52*H$7,MIN((H$20-I51),J52)*J$7+IF(J52&gt;(H$20-I51),(J52-(H$20-I51))*H$7,0))</f>
        <v>0</v>
      </c>
      <c r="K63" s="60">
        <f t="shared" si="43"/>
        <v>0</v>
      </c>
      <c r="L63" s="60">
        <f t="shared" si="43"/>
        <v>0</v>
      </c>
      <c r="M63" s="60">
        <f t="shared" si="43"/>
        <v>0</v>
      </c>
      <c r="N63" s="60">
        <f t="shared" si="43"/>
        <v>0</v>
      </c>
      <c r="O63" s="60">
        <f t="shared" si="43"/>
        <v>0</v>
      </c>
      <c r="P63" s="60">
        <f t="shared" si="43"/>
        <v>19176</v>
      </c>
      <c r="Q63" s="60">
        <f t="shared" si="43"/>
        <v>371460</v>
      </c>
      <c r="R63" s="60">
        <f t="shared" si="43"/>
        <v>0</v>
      </c>
      <c r="S63" s="60">
        <f t="shared" si="43"/>
        <v>0</v>
      </c>
      <c r="T63" s="60">
        <f t="shared" si="43"/>
        <v>0</v>
      </c>
      <c r="U63" s="60">
        <f t="shared" si="43"/>
        <v>127132.8</v>
      </c>
      <c r="V63" s="60">
        <f t="shared" si="43"/>
        <v>0</v>
      </c>
      <c r="AB63" s="66" t="s">
        <v>100</v>
      </c>
    </row>
    <row r="64" spans="1:35" ht="15" customHeight="1" x14ac:dyDescent="0.3">
      <c r="A64" s="14"/>
      <c r="B64" s="5">
        <f t="shared" si="31"/>
        <v>45</v>
      </c>
      <c r="C64" s="55" t="s">
        <v>40</v>
      </c>
      <c r="D64" s="28" t="s">
        <v>10</v>
      </c>
      <c r="E64" s="13"/>
      <c r="F64" s="61"/>
      <c r="G64" s="61"/>
      <c r="H64" s="61"/>
      <c r="I64" s="60">
        <f t="shared" ref="I64:V64" si="44">IF(G51+H52&gt;F$20,I53*F$7,MIN((F$20-G51-H52),I53)*I$7+IF(I53&gt;(F$20-H52-G51),(I53-(F$20-H52-G51))*F$7,0))</f>
        <v>0</v>
      </c>
      <c r="J64" s="60">
        <f t="shared" si="44"/>
        <v>0</v>
      </c>
      <c r="K64" s="60">
        <f t="shared" si="44"/>
        <v>0</v>
      </c>
      <c r="L64" s="60">
        <f t="shared" si="44"/>
        <v>797881.3</v>
      </c>
      <c r="M64" s="60">
        <f t="shared" si="44"/>
        <v>0</v>
      </c>
      <c r="N64" s="60">
        <f t="shared" si="44"/>
        <v>0</v>
      </c>
      <c r="O64" s="60">
        <f t="shared" si="44"/>
        <v>0</v>
      </c>
      <c r="P64" s="60">
        <f t="shared" si="44"/>
        <v>78054</v>
      </c>
      <c r="Q64" s="60">
        <f t="shared" si="44"/>
        <v>0</v>
      </c>
      <c r="R64" s="60">
        <f t="shared" si="44"/>
        <v>404875</v>
      </c>
      <c r="S64" s="60">
        <f t="shared" si="44"/>
        <v>0</v>
      </c>
      <c r="T64" s="60">
        <f t="shared" si="44"/>
        <v>0</v>
      </c>
      <c r="U64" s="60">
        <f t="shared" si="44"/>
        <v>0</v>
      </c>
      <c r="V64" s="60">
        <f t="shared" si="44"/>
        <v>343551.3</v>
      </c>
      <c r="AB64" s="66" t="s">
        <v>100</v>
      </c>
    </row>
    <row r="65" spans="1:35" ht="15" customHeight="1" x14ac:dyDescent="0.3">
      <c r="A65" s="14"/>
      <c r="B65" s="5">
        <f t="shared" si="31"/>
        <v>46</v>
      </c>
      <c r="C65" s="55" t="s">
        <v>41</v>
      </c>
      <c r="D65" s="28" t="s">
        <v>10</v>
      </c>
      <c r="E65" s="13"/>
      <c r="F65" s="61"/>
      <c r="G65" s="61"/>
      <c r="H65" s="61"/>
      <c r="I65" s="61"/>
      <c r="J65" s="60">
        <f>IF(G51+H52+I53&gt;F$20,J54*F$7,MIN((F$20-G51-H52-I53),J54)*J$7+IF(J54&gt;(F$20-I53-H52-G51),(J54-(F$20-I53-H52-G51))*F$7,0))</f>
        <v>0</v>
      </c>
      <c r="K65" s="60">
        <f t="shared" ref="K65:V65" si="45">IF(H51+I52+J53&gt;G$20,K54*G$7,MIN((G$20-H51-I52-J53),K54)*K$7+IF(K54&gt;(G$20-J53-I52-H51),(K54-(G$20-J53-I52-H51))*G$7,0))</f>
        <v>0</v>
      </c>
      <c r="L65" s="60">
        <f t="shared" si="45"/>
        <v>0</v>
      </c>
      <c r="M65" s="60">
        <f t="shared" si="45"/>
        <v>0</v>
      </c>
      <c r="N65" s="60">
        <f t="shared" si="45"/>
        <v>0</v>
      </c>
      <c r="O65" s="60">
        <f t="shared" si="45"/>
        <v>0</v>
      </c>
      <c r="P65" s="60">
        <f t="shared" si="45"/>
        <v>0</v>
      </c>
      <c r="Q65" s="60">
        <f t="shared" si="45"/>
        <v>0</v>
      </c>
      <c r="R65" s="60">
        <f t="shared" si="45"/>
        <v>0</v>
      </c>
      <c r="S65" s="60">
        <f t="shared" si="45"/>
        <v>0</v>
      </c>
      <c r="T65" s="60">
        <f t="shared" si="45"/>
        <v>0</v>
      </c>
      <c r="U65" s="60">
        <f t="shared" si="45"/>
        <v>0</v>
      </c>
      <c r="V65" s="60">
        <f t="shared" si="45"/>
        <v>0</v>
      </c>
      <c r="AB65" s="66" t="s">
        <v>100</v>
      </c>
    </row>
    <row r="66" spans="1:35" ht="15" customHeight="1" x14ac:dyDescent="0.3">
      <c r="A66" s="14"/>
      <c r="B66" s="5">
        <f t="shared" si="31"/>
        <v>47</v>
      </c>
      <c r="C66" s="55" t="s">
        <v>45</v>
      </c>
      <c r="D66" s="28" t="s">
        <v>10</v>
      </c>
      <c r="E66" s="13"/>
      <c r="F66" s="61"/>
      <c r="G66" s="61"/>
      <c r="H66" s="61"/>
      <c r="I66" s="61"/>
      <c r="J66" s="61"/>
      <c r="K66" s="60">
        <f>IF(G51+H52+I53+J54&gt;F$20,K55*F$7,MIN((F$20-G51-H52-I53-J54),K55)*K$7+IF(K55&gt;(F$20-J54-I53-H52-G51),(K55-(F$20-J54-I53-H52-G51))*F$7,0))</f>
        <v>0</v>
      </c>
      <c r="L66" s="60">
        <f t="shared" ref="L66:Q66" si="46">IF(H51+I52+J53+K54&gt;G$20,L55*G$7,MIN((G$20-H51-I52-J53-K54),L55)*L$7+IF(L55&gt;(G$20-K54-J53-I52-H51),(L55-(G$20-K54-J53-I52-H51))*G$7,0))</f>
        <v>0</v>
      </c>
      <c r="M66" s="60">
        <f t="shared" si="46"/>
        <v>0</v>
      </c>
      <c r="N66" s="60">
        <f t="shared" si="46"/>
        <v>0</v>
      </c>
      <c r="O66" s="60">
        <f t="shared" si="46"/>
        <v>0</v>
      </c>
      <c r="P66" s="60">
        <f>IF(L51+M52+N53+O54&gt;K$20,P55*K$7,MIN((K$20-L51-M52-N53-O54),P55)*P$7+IF(P55&gt;(K$20-O54-N53-M52-L51),(P55-(K$20-O54-N53-M52-L51))*K$7,0))</f>
        <v>141728</v>
      </c>
      <c r="Q66" s="60">
        <f t="shared" si="46"/>
        <v>0</v>
      </c>
      <c r="R66" s="60">
        <f t="shared" ref="R66" si="47">IF(N51+O52+P53+Q54&gt;M$20,R55*M$7,MIN((M$20-N51-O52-P53-Q54),R55)*R$7+IF(R55&gt;(M$20-Q54-P53-O52-N51),(R55-(M$20-Q54-P53-O52-N51))*M$7,0))</f>
        <v>0</v>
      </c>
      <c r="S66" s="60">
        <f t="shared" ref="S66" si="48">IF(O51+P52+Q53+R54&gt;N$20,S55*N$7,MIN((N$20-O51-P52-Q53-R54),S55)*S$7+IF(S55&gt;(N$20-R54-Q53-P52-O51),(S55-(N$20-R54-Q53-P52-O51))*N$7,0))</f>
        <v>0</v>
      </c>
      <c r="T66" s="60">
        <f t="shared" ref="T66" si="49">IF(P51+Q52+R53+S54&gt;O$20,T55*O$7,MIN((O$20-P51-Q52-R53-S54),T55)*T$7+IF(T55&gt;(O$20-S54-R53-Q52-P51),(T55-(O$20-S54-R53-Q52-P51))*O$7,0))</f>
        <v>0</v>
      </c>
      <c r="U66" s="60">
        <f t="shared" ref="U66" si="50">IF(Q51+R52+S53+T54&gt;P$20,U55*P$7,MIN((P$20-Q51-R52-S53-T54),U55)*U$7+IF(U55&gt;(P$20-T54-S53-R52-Q51),(U55-(P$20-T54-S53-R52-Q51))*P$7,0))</f>
        <v>0</v>
      </c>
      <c r="V66" s="60">
        <f t="shared" ref="V66" si="51">IF(R51+S52+T53+U54&gt;Q$20,V55*Q$7,MIN((Q$20-R51-S52-T53-U54),V55)*V$7+IF(V55&gt;(Q$20-U54-T53-S52-R51),(V55-(Q$20-U54-T53-S52-R51))*Q$7,0))</f>
        <v>0</v>
      </c>
      <c r="AB66" s="66" t="s">
        <v>100</v>
      </c>
    </row>
    <row r="67" spans="1:35" ht="15" customHeight="1" x14ac:dyDescent="0.3">
      <c r="A67" s="14"/>
      <c r="B67" s="5">
        <f t="shared" si="31"/>
        <v>48</v>
      </c>
      <c r="C67" s="55" t="s">
        <v>104</v>
      </c>
      <c r="D67" s="28"/>
      <c r="E67" s="13"/>
      <c r="F67" s="61"/>
      <c r="G67" s="61"/>
      <c r="H67" s="61"/>
      <c r="I67" s="61"/>
      <c r="J67" s="61"/>
      <c r="K67" s="58"/>
      <c r="L67" s="58"/>
      <c r="M67" s="58"/>
      <c r="N67" s="58"/>
      <c r="O67" s="58"/>
      <c r="P67" s="58"/>
      <c r="Q67" s="58"/>
      <c r="R67" s="59">
        <f>R7*R56</f>
        <v>165231.4</v>
      </c>
      <c r="S67" s="58"/>
      <c r="T67" s="58"/>
      <c r="U67" s="58"/>
      <c r="V67" s="58"/>
      <c r="AB67" s="66" t="s">
        <v>105</v>
      </c>
    </row>
    <row r="68" spans="1:35" ht="15" customHeight="1" x14ac:dyDescent="0.3">
      <c r="A68" s="14"/>
      <c r="B68" s="5">
        <f t="shared" si="31"/>
        <v>49</v>
      </c>
      <c r="C68" s="55" t="s">
        <v>81</v>
      </c>
      <c r="D68" s="28" t="s">
        <v>10</v>
      </c>
      <c r="E68" s="13"/>
      <c r="F68" s="58">
        <f t="shared" ref="F68:V68" si="52">+F10*F57</f>
        <v>0</v>
      </c>
      <c r="G68" s="58">
        <f t="shared" si="52"/>
        <v>0</v>
      </c>
      <c r="H68" s="58">
        <f t="shared" si="52"/>
        <v>283715</v>
      </c>
      <c r="I68" s="58">
        <f t="shared" si="52"/>
        <v>0</v>
      </c>
      <c r="J68" s="58">
        <f t="shared" si="52"/>
        <v>0</v>
      </c>
      <c r="K68" s="58">
        <f t="shared" si="52"/>
        <v>0</v>
      </c>
      <c r="L68" s="58">
        <f t="shared" si="52"/>
        <v>0</v>
      </c>
      <c r="M68" s="58">
        <f t="shared" si="52"/>
        <v>0</v>
      </c>
      <c r="N68" s="58">
        <f t="shared" si="52"/>
        <v>0</v>
      </c>
      <c r="O68" s="58">
        <f t="shared" si="52"/>
        <v>0</v>
      </c>
      <c r="P68" s="58">
        <f t="shared" si="52"/>
        <v>0</v>
      </c>
      <c r="Q68" s="58">
        <f t="shared" si="52"/>
        <v>0</v>
      </c>
      <c r="R68" s="58">
        <f t="shared" si="52"/>
        <v>227453.3</v>
      </c>
      <c r="S68" s="58">
        <f t="shared" si="52"/>
        <v>0</v>
      </c>
      <c r="T68" s="58">
        <f t="shared" si="52"/>
        <v>0</v>
      </c>
      <c r="U68" s="58">
        <f t="shared" si="52"/>
        <v>0</v>
      </c>
      <c r="V68" s="58">
        <f t="shared" si="52"/>
        <v>330338.80000000005</v>
      </c>
      <c r="AB68" s="66" t="s">
        <v>100</v>
      </c>
      <c r="AC68" s="2"/>
      <c r="AD68" s="2"/>
      <c r="AE68" s="2"/>
      <c r="AF68" s="2"/>
      <c r="AG68" s="2"/>
      <c r="AH68" s="2"/>
      <c r="AI68" s="2"/>
    </row>
    <row r="69" spans="1:35" ht="15" customHeight="1" x14ac:dyDescent="0.3">
      <c r="A69" s="14"/>
      <c r="B69" s="5">
        <f t="shared" si="31"/>
        <v>50</v>
      </c>
      <c r="C69" s="55" t="s">
        <v>75</v>
      </c>
      <c r="D69" s="28" t="s">
        <v>10</v>
      </c>
      <c r="E69" s="13"/>
      <c r="F69" s="62">
        <f t="shared" ref="F69:V69" si="53">SUM(F61:F68)</f>
        <v>7775712</v>
      </c>
      <c r="G69" s="62">
        <f t="shared" si="53"/>
        <v>8098670</v>
      </c>
      <c r="H69" s="62">
        <f t="shared" si="53"/>
        <v>8245849</v>
      </c>
      <c r="I69" s="62">
        <f t="shared" si="53"/>
        <v>7044600</v>
      </c>
      <c r="J69" s="62">
        <f t="shared" si="53"/>
        <v>6733031.7999999998</v>
      </c>
      <c r="K69" s="62">
        <f t="shared" si="53"/>
        <v>7797330.7999999998</v>
      </c>
      <c r="L69" s="62">
        <f t="shared" si="53"/>
        <v>8751529.9000000004</v>
      </c>
      <c r="M69" s="62">
        <f t="shared" si="53"/>
        <v>7861378</v>
      </c>
      <c r="N69" s="62">
        <f t="shared" si="53"/>
        <v>7918260</v>
      </c>
      <c r="O69" s="62">
        <f t="shared" si="53"/>
        <v>6970000</v>
      </c>
      <c r="P69" s="62">
        <f t="shared" si="53"/>
        <v>8383474</v>
      </c>
      <c r="Q69" s="62">
        <f t="shared" si="53"/>
        <v>8305770</v>
      </c>
      <c r="R69" s="62">
        <f t="shared" si="53"/>
        <v>8734077.5</v>
      </c>
      <c r="S69" s="62">
        <f t="shared" si="53"/>
        <v>6900300</v>
      </c>
      <c r="T69" s="62">
        <f t="shared" si="53"/>
        <v>8367365.2999999989</v>
      </c>
      <c r="U69" s="62">
        <f t="shared" si="53"/>
        <v>8061494.3999999994</v>
      </c>
      <c r="V69" s="62">
        <f t="shared" si="53"/>
        <v>8610301</v>
      </c>
      <c r="AB69" s="66" t="s">
        <v>100</v>
      </c>
      <c r="AC69" s="2"/>
      <c r="AD69" s="2"/>
      <c r="AE69" s="2"/>
      <c r="AF69" s="2"/>
      <c r="AG69" s="2"/>
      <c r="AH69" s="2"/>
      <c r="AI69" s="2"/>
    </row>
    <row r="70" spans="1:35" ht="15" customHeight="1" x14ac:dyDescent="0.3">
      <c r="A70" s="14"/>
      <c r="B70" s="5"/>
      <c r="C70" s="55"/>
      <c r="D70" s="28"/>
      <c r="E70" s="13"/>
      <c r="F70" s="58"/>
      <c r="G70" s="58"/>
      <c r="H70" s="58"/>
      <c r="I70" s="58"/>
      <c r="J70" s="58"/>
      <c r="K70" s="58"/>
      <c r="L70" s="58"/>
      <c r="M70" s="58"/>
      <c r="N70" s="58"/>
      <c r="O70" s="58"/>
      <c r="P70" s="58"/>
      <c r="Q70" s="58"/>
      <c r="R70" s="58"/>
      <c r="S70" s="58"/>
      <c r="T70" s="58"/>
      <c r="U70" s="58"/>
      <c r="V70" s="58"/>
      <c r="AB70" s="66" t="s">
        <v>100</v>
      </c>
      <c r="AC70" s="2"/>
      <c r="AD70" s="2"/>
      <c r="AE70" s="2"/>
      <c r="AF70" s="2"/>
      <c r="AG70" s="2"/>
      <c r="AH70" s="2"/>
      <c r="AI70" s="2"/>
    </row>
    <row r="71" spans="1:35" s="14" customFormat="1" ht="15" customHeight="1" x14ac:dyDescent="0.3">
      <c r="A71" s="31" t="s">
        <v>76</v>
      </c>
      <c r="B71" s="5"/>
      <c r="C71" s="24"/>
      <c r="D71" s="28"/>
      <c r="E71" s="32"/>
      <c r="F71" s="60"/>
      <c r="G71" s="60"/>
      <c r="H71" s="60"/>
      <c r="I71" s="60"/>
      <c r="J71" s="60"/>
      <c r="K71" s="60"/>
      <c r="L71" s="60"/>
      <c r="M71" s="60"/>
      <c r="N71" s="60"/>
      <c r="O71" s="60"/>
      <c r="P71" s="60"/>
      <c r="Q71" s="60"/>
      <c r="R71" s="60"/>
      <c r="S71" s="60"/>
      <c r="T71" s="60"/>
      <c r="U71" s="60"/>
      <c r="V71" s="60"/>
      <c r="W71"/>
      <c r="X71"/>
      <c r="Y71"/>
      <c r="Z71"/>
      <c r="AA71"/>
      <c r="AB71" s="66" t="s">
        <v>100</v>
      </c>
    </row>
    <row r="72" spans="1:35" s="14" customFormat="1" ht="15" customHeight="1" x14ac:dyDescent="0.3">
      <c r="A72" s="31"/>
      <c r="B72" s="5">
        <f>B69+1</f>
        <v>51</v>
      </c>
      <c r="C72" s="55" t="str">
        <f>C69</f>
        <v xml:space="preserve">TOTAL Production Revenue </v>
      </c>
      <c r="D72" s="28" t="s">
        <v>10</v>
      </c>
      <c r="E72" s="32"/>
      <c r="F72" s="60">
        <f>F69</f>
        <v>7775712</v>
      </c>
      <c r="G72" s="60">
        <f t="shared" ref="G72:V72" si="54">G69</f>
        <v>8098670</v>
      </c>
      <c r="H72" s="60">
        <f t="shared" si="54"/>
        <v>8245849</v>
      </c>
      <c r="I72" s="60">
        <f t="shared" si="54"/>
        <v>7044600</v>
      </c>
      <c r="J72" s="60">
        <f t="shared" si="54"/>
        <v>6733031.7999999998</v>
      </c>
      <c r="K72" s="60">
        <f t="shared" si="54"/>
        <v>7797330.7999999998</v>
      </c>
      <c r="L72" s="60">
        <f t="shared" si="54"/>
        <v>8751529.9000000004</v>
      </c>
      <c r="M72" s="60">
        <f t="shared" si="54"/>
        <v>7861378</v>
      </c>
      <c r="N72" s="60">
        <f t="shared" si="54"/>
        <v>7918260</v>
      </c>
      <c r="O72" s="60">
        <f t="shared" si="54"/>
        <v>6970000</v>
      </c>
      <c r="P72" s="60">
        <f t="shared" si="54"/>
        <v>8383474</v>
      </c>
      <c r="Q72" s="60">
        <f t="shared" si="54"/>
        <v>8305770</v>
      </c>
      <c r="R72" s="60">
        <f t="shared" si="54"/>
        <v>8734077.5</v>
      </c>
      <c r="S72" s="60">
        <f t="shared" si="54"/>
        <v>6900300</v>
      </c>
      <c r="T72" s="60">
        <f t="shared" si="54"/>
        <v>8367365.2999999989</v>
      </c>
      <c r="U72" s="60">
        <f t="shared" si="54"/>
        <v>8061494.3999999994</v>
      </c>
      <c r="V72" s="60">
        <f t="shared" si="54"/>
        <v>8610301</v>
      </c>
      <c r="W72"/>
      <c r="X72"/>
      <c r="Y72"/>
      <c r="Z72"/>
      <c r="AA72"/>
      <c r="AB72" s="66" t="s">
        <v>100</v>
      </c>
    </row>
    <row r="73" spans="1:35" s="14" customFormat="1" ht="15" customHeight="1" x14ac:dyDescent="0.3">
      <c r="A73" s="31"/>
      <c r="B73" s="5">
        <f>B72+1</f>
        <v>52</v>
      </c>
      <c r="C73" s="55" t="s">
        <v>78</v>
      </c>
      <c r="D73" s="28" t="s">
        <v>10</v>
      </c>
      <c r="E73" s="32"/>
      <c r="F73" s="83">
        <f t="shared" ref="F73:V73" si="55">-F38</f>
        <v>0</v>
      </c>
      <c r="G73" s="83">
        <f t="shared" si="55"/>
        <v>0</v>
      </c>
      <c r="H73" s="83">
        <f t="shared" si="55"/>
        <v>0</v>
      </c>
      <c r="I73" s="83">
        <f t="shared" si="55"/>
        <v>-272</v>
      </c>
      <c r="J73" s="83">
        <f t="shared" si="55"/>
        <v>0</v>
      </c>
      <c r="K73" s="83">
        <f t="shared" si="55"/>
        <v>0</v>
      </c>
      <c r="L73" s="83">
        <f t="shared" si="55"/>
        <v>0</v>
      </c>
      <c r="M73" s="83">
        <f t="shared" si="55"/>
        <v>0</v>
      </c>
      <c r="N73" s="83">
        <f t="shared" si="55"/>
        <v>0</v>
      </c>
      <c r="O73" s="83">
        <f t="shared" si="55"/>
        <v>-104962.2</v>
      </c>
      <c r="P73" s="83">
        <f t="shared" si="55"/>
        <v>0</v>
      </c>
      <c r="Q73" s="83">
        <f t="shared" si="55"/>
        <v>0</v>
      </c>
      <c r="R73" s="83">
        <f t="shared" si="55"/>
        <v>0</v>
      </c>
      <c r="S73" s="83">
        <f t="shared" si="55"/>
        <v>-41194.5</v>
      </c>
      <c r="T73" s="83">
        <f t="shared" si="55"/>
        <v>0</v>
      </c>
      <c r="U73" s="83">
        <f t="shared" si="55"/>
        <v>0</v>
      </c>
      <c r="V73" s="83">
        <f t="shared" si="55"/>
        <v>0</v>
      </c>
      <c r="W73"/>
      <c r="X73"/>
      <c r="Y73"/>
      <c r="Z73"/>
      <c r="AA73"/>
      <c r="AB73" s="66" t="s">
        <v>100</v>
      </c>
    </row>
    <row r="74" spans="1:35" s="14" customFormat="1" ht="15" customHeight="1" x14ac:dyDescent="0.3">
      <c r="A74" s="31"/>
      <c r="B74" s="5">
        <f>B73+1</f>
        <v>53</v>
      </c>
      <c r="C74" s="55" t="s">
        <v>24</v>
      </c>
      <c r="D74" s="28" t="s">
        <v>10</v>
      </c>
      <c r="E74" s="32"/>
      <c r="F74" s="60">
        <f>+F72+F73</f>
        <v>7775712</v>
      </c>
      <c r="G74" s="60">
        <f t="shared" ref="G74:V74" si="56">+G72+G73</f>
        <v>8098670</v>
      </c>
      <c r="H74" s="60">
        <f t="shared" si="56"/>
        <v>8245849</v>
      </c>
      <c r="I74" s="60">
        <f t="shared" si="56"/>
        <v>7044328</v>
      </c>
      <c r="J74" s="60">
        <f t="shared" si="56"/>
        <v>6733031.7999999998</v>
      </c>
      <c r="K74" s="60">
        <f t="shared" si="56"/>
        <v>7797330.7999999998</v>
      </c>
      <c r="L74" s="60">
        <f t="shared" si="56"/>
        <v>8751529.9000000004</v>
      </c>
      <c r="M74" s="60">
        <f t="shared" si="56"/>
        <v>7861378</v>
      </c>
      <c r="N74" s="60">
        <f t="shared" si="56"/>
        <v>7918260</v>
      </c>
      <c r="O74" s="60">
        <f t="shared" si="56"/>
        <v>6865037.7999999998</v>
      </c>
      <c r="P74" s="60">
        <f t="shared" si="56"/>
        <v>8383474</v>
      </c>
      <c r="Q74" s="60">
        <f t="shared" si="56"/>
        <v>8305770</v>
      </c>
      <c r="R74" s="60">
        <f t="shared" si="56"/>
        <v>8734077.5</v>
      </c>
      <c r="S74" s="60">
        <f t="shared" si="56"/>
        <v>6859105.5</v>
      </c>
      <c r="T74" s="60">
        <f t="shared" si="56"/>
        <v>8367365.2999999989</v>
      </c>
      <c r="U74" s="60">
        <f t="shared" si="56"/>
        <v>8061494.3999999994</v>
      </c>
      <c r="V74" s="60">
        <f t="shared" si="56"/>
        <v>8610301</v>
      </c>
      <c r="W74"/>
      <c r="X74"/>
      <c r="Y74"/>
      <c r="Z74"/>
      <c r="AA74"/>
      <c r="AB74" s="66" t="s">
        <v>100</v>
      </c>
    </row>
    <row r="75" spans="1:35" s="14" customFormat="1" ht="15" customHeight="1" x14ac:dyDescent="0.3">
      <c r="A75" s="31"/>
      <c r="B75" s="5"/>
      <c r="C75" s="55"/>
      <c r="D75" s="28"/>
      <c r="E75" s="32"/>
      <c r="F75" s="60"/>
      <c r="G75" s="60"/>
      <c r="H75" s="60"/>
      <c r="I75" s="60"/>
      <c r="J75" s="60"/>
      <c r="K75" s="60"/>
      <c r="L75" s="60"/>
      <c r="M75" s="60"/>
      <c r="N75" s="60"/>
      <c r="O75" s="60"/>
      <c r="P75" s="60"/>
      <c r="Q75" s="60"/>
      <c r="R75" s="60"/>
      <c r="S75" s="60"/>
      <c r="T75" s="60"/>
      <c r="U75" s="60"/>
      <c r="V75" s="60"/>
      <c r="W75"/>
      <c r="X75"/>
      <c r="Y75"/>
      <c r="Z75"/>
      <c r="AA75"/>
      <c r="AB75" s="66" t="s">
        <v>100</v>
      </c>
    </row>
    <row r="76" spans="1:35" s="14" customFormat="1" ht="15" customHeight="1" x14ac:dyDescent="0.3">
      <c r="B76" s="5">
        <f>B74+1</f>
        <v>54</v>
      </c>
      <c r="C76" s="55" t="s">
        <v>108</v>
      </c>
      <c r="D76" s="28" t="s">
        <v>10</v>
      </c>
      <c r="E76" s="32"/>
      <c r="F76" s="60">
        <f t="shared" ref="F76:V76" si="57">+F7*F13</f>
        <v>7775712</v>
      </c>
      <c r="G76" s="60">
        <f t="shared" si="57"/>
        <v>8098670</v>
      </c>
      <c r="H76" s="60">
        <f t="shared" si="57"/>
        <v>7920000</v>
      </c>
      <c r="I76" s="60">
        <f t="shared" si="57"/>
        <v>7044600</v>
      </c>
      <c r="J76" s="60">
        <f t="shared" si="57"/>
        <v>6716640</v>
      </c>
      <c r="K76" s="60">
        <f t="shared" si="57"/>
        <v>7433300</v>
      </c>
      <c r="L76" s="60">
        <f t="shared" si="57"/>
        <v>8762460</v>
      </c>
      <c r="M76" s="60">
        <f t="shared" si="57"/>
        <v>7861378</v>
      </c>
      <c r="N76" s="60">
        <f t="shared" si="57"/>
        <v>7918260</v>
      </c>
      <c r="O76" s="60">
        <f t="shared" si="57"/>
        <v>6970000</v>
      </c>
      <c r="P76" s="60">
        <f t="shared" si="57"/>
        <v>8385024</v>
      </c>
      <c r="Q76" s="60">
        <f t="shared" si="57"/>
        <v>8309394</v>
      </c>
      <c r="R76" s="60">
        <f t="shared" si="57"/>
        <v>8740200</v>
      </c>
      <c r="S76" s="60">
        <f t="shared" si="57"/>
        <v>6900300</v>
      </c>
      <c r="T76" s="60">
        <f t="shared" si="57"/>
        <v>8369533.3999999994</v>
      </c>
      <c r="U76" s="60">
        <f t="shared" si="57"/>
        <v>8062771.1999999993</v>
      </c>
      <c r="V76" s="60">
        <f t="shared" si="57"/>
        <v>8615558.5999999996</v>
      </c>
      <c r="W76"/>
      <c r="X76"/>
      <c r="Y76"/>
      <c r="Z76"/>
      <c r="AA76"/>
      <c r="AB76" s="66" t="s">
        <v>100</v>
      </c>
    </row>
    <row r="77" spans="1:35" ht="15" customHeight="1" x14ac:dyDescent="0.3">
      <c r="A77" s="14"/>
      <c r="B77" s="5">
        <f>B76+1</f>
        <v>55</v>
      </c>
      <c r="C77" s="55" t="s">
        <v>25</v>
      </c>
      <c r="D77" s="28" t="s">
        <v>10</v>
      </c>
      <c r="E77" s="32"/>
      <c r="F77" s="58">
        <f t="shared" ref="F77:V77" si="58">F74-F76</f>
        <v>0</v>
      </c>
      <c r="G77" s="58">
        <f t="shared" si="58"/>
        <v>0</v>
      </c>
      <c r="H77" s="58">
        <f t="shared" si="58"/>
        <v>325849</v>
      </c>
      <c r="I77" s="58">
        <f t="shared" si="58"/>
        <v>-272</v>
      </c>
      <c r="J77" s="58">
        <f t="shared" si="58"/>
        <v>16391.799999999814</v>
      </c>
      <c r="K77" s="58">
        <f t="shared" si="58"/>
        <v>364030.79999999981</v>
      </c>
      <c r="L77" s="58">
        <f t="shared" si="58"/>
        <v>-10930.099999999627</v>
      </c>
      <c r="M77" s="58">
        <f t="shared" si="58"/>
        <v>0</v>
      </c>
      <c r="N77" s="58">
        <f t="shared" si="58"/>
        <v>0</v>
      </c>
      <c r="O77" s="58">
        <f t="shared" si="58"/>
        <v>-104962.20000000019</v>
      </c>
      <c r="P77" s="58">
        <f t="shared" si="58"/>
        <v>-1550</v>
      </c>
      <c r="Q77" s="58">
        <f t="shared" si="58"/>
        <v>-3624</v>
      </c>
      <c r="R77" s="58">
        <f t="shared" si="58"/>
        <v>-6122.5</v>
      </c>
      <c r="S77" s="58">
        <f t="shared" si="58"/>
        <v>-41194.5</v>
      </c>
      <c r="T77" s="58">
        <f t="shared" si="58"/>
        <v>-2168.1000000005588</v>
      </c>
      <c r="U77" s="58">
        <f t="shared" si="58"/>
        <v>-1276.7999999998137</v>
      </c>
      <c r="V77" s="58">
        <f t="shared" si="58"/>
        <v>-5257.5999999996275</v>
      </c>
      <c r="AB77" s="66" t="s">
        <v>92</v>
      </c>
    </row>
    <row r="78" spans="1:35" ht="15" customHeight="1" x14ac:dyDescent="0.3">
      <c r="A78" s="14"/>
      <c r="B78" s="5"/>
      <c r="C78" s="55"/>
      <c r="D78" s="28"/>
      <c r="E78" s="32"/>
      <c r="F78" s="58"/>
      <c r="G78" s="58"/>
      <c r="H78" s="58"/>
      <c r="I78" s="58"/>
      <c r="J78" s="58"/>
      <c r="K78" s="58"/>
      <c r="L78" s="58"/>
      <c r="M78" s="58"/>
      <c r="N78" s="58"/>
      <c r="O78" s="58"/>
      <c r="P78" s="58"/>
      <c r="Q78" s="58"/>
      <c r="R78" s="58"/>
      <c r="S78" s="58"/>
      <c r="T78" s="58"/>
      <c r="U78" s="58"/>
      <c r="V78" s="58"/>
      <c r="AB78" s="66" t="s">
        <v>100</v>
      </c>
    </row>
    <row r="79" spans="1:35" ht="15" customHeight="1" x14ac:dyDescent="0.3">
      <c r="A79" s="31" t="s">
        <v>107</v>
      </c>
      <c r="B79" s="5"/>
      <c r="C79" s="55"/>
      <c r="D79" s="28"/>
      <c r="E79" s="13"/>
      <c r="F79" s="58"/>
      <c r="G79" s="58"/>
      <c r="H79" s="58"/>
      <c r="I79" s="58"/>
      <c r="J79" s="58"/>
      <c r="K79" s="58"/>
      <c r="L79" s="58"/>
      <c r="M79" s="58"/>
      <c r="N79" s="58"/>
      <c r="O79" s="58"/>
      <c r="P79" s="58"/>
      <c r="Q79" s="58"/>
      <c r="R79" s="58"/>
      <c r="S79" s="58"/>
      <c r="T79" s="58"/>
      <c r="U79" s="58"/>
      <c r="V79" s="58"/>
      <c r="AB79" s="66" t="s">
        <v>100</v>
      </c>
      <c r="AC79" s="2"/>
      <c r="AD79" s="2"/>
      <c r="AE79" s="2"/>
      <c r="AF79" s="2"/>
      <c r="AG79" s="2"/>
      <c r="AH79" s="2"/>
      <c r="AI79" s="2"/>
    </row>
    <row r="80" spans="1:35" ht="15" customHeight="1" x14ac:dyDescent="0.3">
      <c r="A80" s="14"/>
      <c r="B80" s="5">
        <f>B77+1</f>
        <v>56</v>
      </c>
      <c r="C80" s="55" t="s">
        <v>72</v>
      </c>
      <c r="D80" s="28" t="s">
        <v>9</v>
      </c>
      <c r="E80" s="13"/>
      <c r="F80" s="58">
        <f>F50+G51+H52+I53+J54+K55</f>
        <v>40502</v>
      </c>
      <c r="G80" s="58">
        <f t="shared" ref="G80:V80" si="59">G50+H51+I52+J53+K54+L55</f>
        <v>40301</v>
      </c>
      <c r="H80" s="58">
        <f t="shared" si="59"/>
        <v>40192</v>
      </c>
      <c r="I80" s="58">
        <f t="shared" si="59"/>
        <v>39406</v>
      </c>
      <c r="J80" s="58">
        <f t="shared" si="59"/>
        <v>33682</v>
      </c>
      <c r="K80" s="58">
        <f t="shared" si="59"/>
        <v>39500</v>
      </c>
      <c r="L80" s="58">
        <f t="shared" si="59"/>
        <v>39394</v>
      </c>
      <c r="M80" s="58">
        <f t="shared" si="59"/>
        <v>39107</v>
      </c>
      <c r="N80" s="58">
        <f t="shared" si="59"/>
        <v>38909</v>
      </c>
      <c r="O80" s="58">
        <f t="shared" si="59"/>
        <v>38717</v>
      </c>
      <c r="P80" s="58">
        <f t="shared" si="59"/>
        <v>38611</v>
      </c>
      <c r="Q80" s="58">
        <f t="shared" si="59"/>
        <v>38330</v>
      </c>
      <c r="R80" s="58">
        <f t="shared" si="59"/>
        <v>38138</v>
      </c>
      <c r="S80" s="58">
        <f t="shared" si="59"/>
        <v>37222</v>
      </c>
      <c r="T80" s="58">
        <f t="shared" si="59"/>
        <v>37846</v>
      </c>
      <c r="U80" s="58">
        <f t="shared" si="59"/>
        <v>37568</v>
      </c>
      <c r="V80" s="58">
        <f t="shared" si="59"/>
        <v>37383</v>
      </c>
      <c r="AB80" s="66" t="s">
        <v>93</v>
      </c>
      <c r="AC80" s="2"/>
      <c r="AD80" s="2"/>
      <c r="AE80" s="2"/>
      <c r="AF80" s="2"/>
      <c r="AG80" s="2"/>
      <c r="AH80" s="2"/>
      <c r="AI80" s="2"/>
    </row>
    <row r="81" spans="1:35" ht="15" customHeight="1" x14ac:dyDescent="0.3">
      <c r="A81" s="14"/>
      <c r="B81" s="5">
        <f>B80+1</f>
        <v>57</v>
      </c>
      <c r="C81" s="55" t="s">
        <v>73</v>
      </c>
      <c r="D81" s="28" t="s">
        <v>9</v>
      </c>
      <c r="E81" s="13"/>
      <c r="F81" s="58">
        <f t="shared" ref="F81:V81" si="60">+F35</f>
        <v>0</v>
      </c>
      <c r="G81" s="58">
        <f t="shared" si="60"/>
        <v>0</v>
      </c>
      <c r="H81" s="58">
        <f t="shared" si="60"/>
        <v>0</v>
      </c>
      <c r="I81" s="58">
        <f t="shared" si="60"/>
        <v>272</v>
      </c>
      <c r="J81" s="58">
        <f t="shared" si="60"/>
        <v>0</v>
      </c>
      <c r="K81" s="58">
        <f t="shared" si="60"/>
        <v>0</v>
      </c>
      <c r="L81" s="58">
        <f t="shared" si="60"/>
        <v>0</v>
      </c>
      <c r="M81" s="58">
        <f t="shared" si="60"/>
        <v>0</v>
      </c>
      <c r="N81" s="58">
        <f t="shared" si="60"/>
        <v>0</v>
      </c>
      <c r="O81" s="58">
        <f t="shared" si="60"/>
        <v>0</v>
      </c>
      <c r="P81" s="58">
        <f t="shared" si="60"/>
        <v>0</v>
      </c>
      <c r="Q81" s="58">
        <f t="shared" si="60"/>
        <v>0</v>
      </c>
      <c r="R81" s="58">
        <f t="shared" si="60"/>
        <v>0</v>
      </c>
      <c r="S81" s="58">
        <f t="shared" si="60"/>
        <v>725</v>
      </c>
      <c r="T81" s="58">
        <f t="shared" si="60"/>
        <v>0</v>
      </c>
      <c r="U81" s="58">
        <f t="shared" si="60"/>
        <v>0</v>
      </c>
      <c r="V81" s="58">
        <f t="shared" si="60"/>
        <v>0</v>
      </c>
      <c r="AB81" s="66" t="s">
        <v>94</v>
      </c>
      <c r="AC81" s="2"/>
      <c r="AD81" s="2"/>
      <c r="AE81" s="2"/>
      <c r="AF81" s="2"/>
      <c r="AG81" s="2"/>
      <c r="AH81" s="2"/>
      <c r="AI81" s="2"/>
    </row>
    <row r="82" spans="1:35" ht="15" customHeight="1" x14ac:dyDescent="0.3">
      <c r="A82" s="14"/>
      <c r="B82" s="5">
        <f t="shared" ref="B82:B86" si="61">B81+1</f>
        <v>58</v>
      </c>
      <c r="C82" s="55" t="s">
        <v>74</v>
      </c>
      <c r="D82" s="28" t="s">
        <v>9</v>
      </c>
      <c r="E82" s="13"/>
      <c r="F82" s="58">
        <f>IF(K30-F20&lt;0,0,K30-F20)</f>
        <v>0</v>
      </c>
      <c r="G82" s="58">
        <f t="shared" ref="G82:V82" si="62">IF(L30-G20&lt;0,0,L30-G20)</f>
        <v>0</v>
      </c>
      <c r="H82" s="58">
        <f t="shared" si="62"/>
        <v>0</v>
      </c>
      <c r="I82" s="58">
        <f t="shared" si="62"/>
        <v>0</v>
      </c>
      <c r="J82" s="58">
        <f t="shared" si="62"/>
        <v>5222</v>
      </c>
      <c r="K82" s="58">
        <f t="shared" si="62"/>
        <v>0</v>
      </c>
      <c r="L82" s="58">
        <f t="shared" si="62"/>
        <v>0</v>
      </c>
      <c r="M82" s="58">
        <f t="shared" si="62"/>
        <v>0</v>
      </c>
      <c r="N82" s="58">
        <f t="shared" si="62"/>
        <v>0</v>
      </c>
      <c r="O82" s="58">
        <f t="shared" si="62"/>
        <v>0</v>
      </c>
      <c r="P82" s="58">
        <f t="shared" si="62"/>
        <v>0</v>
      </c>
      <c r="Q82" s="58">
        <f t="shared" si="62"/>
        <v>0</v>
      </c>
      <c r="R82" s="58">
        <f t="shared" si="62"/>
        <v>0</v>
      </c>
      <c r="S82" s="58">
        <f t="shared" si="62"/>
        <v>0</v>
      </c>
      <c r="T82" s="58">
        <f t="shared" si="62"/>
        <v>0</v>
      </c>
      <c r="U82" s="58">
        <f t="shared" si="62"/>
        <v>0</v>
      </c>
      <c r="V82" s="58">
        <f t="shared" si="62"/>
        <v>0</v>
      </c>
      <c r="AB82" s="66" t="s">
        <v>103</v>
      </c>
      <c r="AC82" s="2"/>
      <c r="AD82" s="2"/>
      <c r="AE82" s="2"/>
      <c r="AF82" s="2"/>
      <c r="AG82" s="2"/>
      <c r="AH82" s="2"/>
      <c r="AI82" s="2"/>
    </row>
    <row r="83" spans="1:35" ht="15" customHeight="1" x14ac:dyDescent="0.3">
      <c r="A83" s="14"/>
      <c r="B83" s="5">
        <f t="shared" si="61"/>
        <v>59</v>
      </c>
      <c r="C83" s="55" t="s">
        <v>112</v>
      </c>
      <c r="D83" s="28" t="s">
        <v>9</v>
      </c>
      <c r="E83" s="13"/>
      <c r="F83" s="58">
        <f t="shared" ref="F83:H83" si="63">IF(K30&gt;0,MIN(K30,F20),0)</f>
        <v>0</v>
      </c>
      <c r="G83" s="58">
        <f t="shared" si="63"/>
        <v>0</v>
      </c>
      <c r="H83" s="58">
        <f t="shared" si="63"/>
        <v>0</v>
      </c>
      <c r="I83" s="58">
        <f>IF(N30&gt;0,MIN(N30,I20),0)</f>
        <v>221</v>
      </c>
      <c r="J83" s="58">
        <f>IF(O30&gt;0,MIN(O30,J20),0)</f>
        <v>794</v>
      </c>
      <c r="K83" s="58">
        <f t="shared" ref="K83:V83" si="64">IF(P30&gt;0,MIN(P30,K20),0)</f>
        <v>0</v>
      </c>
      <c r="L83" s="58">
        <f t="shared" si="64"/>
        <v>0</v>
      </c>
      <c r="M83" s="58">
        <f t="shared" si="64"/>
        <v>0</v>
      </c>
      <c r="N83" s="58">
        <f t="shared" si="64"/>
        <v>0</v>
      </c>
      <c r="O83" s="58">
        <f t="shared" si="64"/>
        <v>0</v>
      </c>
      <c r="P83" s="58">
        <f t="shared" si="64"/>
        <v>0</v>
      </c>
      <c r="Q83" s="58">
        <f t="shared" si="64"/>
        <v>0</v>
      </c>
      <c r="R83" s="58">
        <f t="shared" si="64"/>
        <v>0</v>
      </c>
      <c r="S83" s="58">
        <f t="shared" si="64"/>
        <v>0</v>
      </c>
      <c r="T83" s="58">
        <f t="shared" si="64"/>
        <v>0</v>
      </c>
      <c r="U83" s="58">
        <f t="shared" si="64"/>
        <v>0</v>
      </c>
      <c r="V83" s="58">
        <f t="shared" si="64"/>
        <v>0</v>
      </c>
      <c r="AB83" s="66" t="s">
        <v>111</v>
      </c>
      <c r="AC83" s="2"/>
      <c r="AD83" s="2"/>
      <c r="AE83" s="2"/>
      <c r="AF83" s="2"/>
      <c r="AG83" s="2"/>
      <c r="AH83" s="2"/>
      <c r="AI83" s="2"/>
    </row>
    <row r="84" spans="1:35" ht="15" customHeight="1" x14ac:dyDescent="0.3">
      <c r="A84" s="14"/>
      <c r="B84" s="5">
        <f t="shared" si="61"/>
        <v>60</v>
      </c>
      <c r="C84" s="55" t="str">
        <f>"Total, Lines "&amp;B80&amp;" + "&amp;B81&amp;" + "&amp;B82&amp;" + "&amp;B83</f>
        <v>Total, Lines 56 + 57 + 58 + 59</v>
      </c>
      <c r="D84" s="28" t="s">
        <v>9</v>
      </c>
      <c r="E84" s="13"/>
      <c r="F84" s="58">
        <f>SUM(F80:F83)</f>
        <v>40502</v>
      </c>
      <c r="G84" s="58">
        <f t="shared" ref="G84:V84" si="65">SUM(G80:G83)</f>
        <v>40301</v>
      </c>
      <c r="H84" s="58">
        <f t="shared" si="65"/>
        <v>40192</v>
      </c>
      <c r="I84" s="58">
        <f t="shared" si="65"/>
        <v>39899</v>
      </c>
      <c r="J84" s="58">
        <f t="shared" si="65"/>
        <v>39698</v>
      </c>
      <c r="K84" s="58">
        <f t="shared" si="65"/>
        <v>39500</v>
      </c>
      <c r="L84" s="58">
        <f t="shared" si="65"/>
        <v>39394</v>
      </c>
      <c r="M84" s="58">
        <f t="shared" si="65"/>
        <v>39107</v>
      </c>
      <c r="N84" s="58">
        <f t="shared" si="65"/>
        <v>38909</v>
      </c>
      <c r="O84" s="58">
        <f t="shared" si="65"/>
        <v>38717</v>
      </c>
      <c r="P84" s="58">
        <f t="shared" si="65"/>
        <v>38611</v>
      </c>
      <c r="Q84" s="58">
        <f t="shared" si="65"/>
        <v>38330</v>
      </c>
      <c r="R84" s="58">
        <f t="shared" si="65"/>
        <v>38138</v>
      </c>
      <c r="S84" s="58">
        <f t="shared" si="65"/>
        <v>37947</v>
      </c>
      <c r="T84" s="58">
        <f t="shared" si="65"/>
        <v>37846</v>
      </c>
      <c r="U84" s="58">
        <f t="shared" si="65"/>
        <v>37568</v>
      </c>
      <c r="V84" s="58">
        <f t="shared" si="65"/>
        <v>37383</v>
      </c>
      <c r="AB84" s="66" t="s">
        <v>95</v>
      </c>
      <c r="AC84" s="2"/>
      <c r="AD84" s="2"/>
      <c r="AE84" s="2"/>
      <c r="AF84" s="2"/>
      <c r="AG84" s="2"/>
      <c r="AH84" s="2"/>
      <c r="AI84" s="2"/>
    </row>
    <row r="85" spans="1:35" ht="15" customHeight="1" x14ac:dyDescent="0.3">
      <c r="A85" s="14"/>
      <c r="B85" s="5">
        <f t="shared" si="61"/>
        <v>61</v>
      </c>
      <c r="C85" s="55" t="s">
        <v>68</v>
      </c>
      <c r="D85" s="28" t="s">
        <v>9</v>
      </c>
      <c r="E85" s="13"/>
      <c r="F85" s="58">
        <f t="shared" ref="F85:V85" si="66">-F11</f>
        <v>-40502</v>
      </c>
      <c r="G85" s="58">
        <f t="shared" si="66"/>
        <v>-40301</v>
      </c>
      <c r="H85" s="58">
        <f t="shared" si="66"/>
        <v>-40192</v>
      </c>
      <c r="I85" s="58">
        <f t="shared" si="66"/>
        <v>-39899</v>
      </c>
      <c r="J85" s="58">
        <f t="shared" si="66"/>
        <v>-39698</v>
      </c>
      <c r="K85" s="58">
        <f t="shared" si="66"/>
        <v>-39500</v>
      </c>
      <c r="L85" s="58">
        <f t="shared" si="66"/>
        <v>-39394</v>
      </c>
      <c r="M85" s="58">
        <f t="shared" si="66"/>
        <v>-39107</v>
      </c>
      <c r="N85" s="58">
        <f t="shared" si="66"/>
        <v>-38909</v>
      </c>
      <c r="O85" s="58">
        <f t="shared" si="66"/>
        <v>-38717</v>
      </c>
      <c r="P85" s="58">
        <f t="shared" si="66"/>
        <v>-38611</v>
      </c>
      <c r="Q85" s="58">
        <f t="shared" si="66"/>
        <v>-38330</v>
      </c>
      <c r="R85" s="58">
        <f t="shared" si="66"/>
        <v>-38138</v>
      </c>
      <c r="S85" s="58">
        <f t="shared" si="66"/>
        <v>-37947</v>
      </c>
      <c r="T85" s="58">
        <f t="shared" si="66"/>
        <v>-37846</v>
      </c>
      <c r="U85" s="58">
        <f t="shared" si="66"/>
        <v>-37568</v>
      </c>
      <c r="V85" s="58">
        <f t="shared" si="66"/>
        <v>-37383</v>
      </c>
      <c r="AB85" s="66" t="s">
        <v>52</v>
      </c>
      <c r="AC85" s="2"/>
      <c r="AD85" s="2"/>
      <c r="AE85" s="2"/>
      <c r="AF85" s="2"/>
      <c r="AG85" s="2"/>
      <c r="AH85" s="2"/>
      <c r="AI85" s="2"/>
    </row>
    <row r="86" spans="1:35" ht="15" customHeight="1" x14ac:dyDescent="0.3">
      <c r="A86" s="14"/>
      <c r="B86" s="5">
        <f t="shared" si="61"/>
        <v>62</v>
      </c>
      <c r="C86" s="55" t="str">
        <f>"Check, Line "&amp;B84&amp;" + "&amp;B85&amp;" (Should equal 0)"</f>
        <v>Check, Line 60 + 61 (Should equal 0)</v>
      </c>
      <c r="D86" s="28" t="s">
        <v>9</v>
      </c>
      <c r="E86" s="13"/>
      <c r="F86" s="58">
        <f>F84+F85</f>
        <v>0</v>
      </c>
      <c r="G86" s="58">
        <f t="shared" ref="G86:V86" si="67">G84+G85</f>
        <v>0</v>
      </c>
      <c r="H86" s="58">
        <f t="shared" si="67"/>
        <v>0</v>
      </c>
      <c r="I86" s="58">
        <f t="shared" si="67"/>
        <v>0</v>
      </c>
      <c r="J86" s="58">
        <f t="shared" si="67"/>
        <v>0</v>
      </c>
      <c r="K86" s="58">
        <f t="shared" si="67"/>
        <v>0</v>
      </c>
      <c r="L86" s="58">
        <f t="shared" si="67"/>
        <v>0</v>
      </c>
      <c r="M86" s="58">
        <f t="shared" si="67"/>
        <v>0</v>
      </c>
      <c r="N86" s="58">
        <f t="shared" si="67"/>
        <v>0</v>
      </c>
      <c r="O86" s="58">
        <f t="shared" si="67"/>
        <v>0</v>
      </c>
      <c r="P86" s="58">
        <f t="shared" si="67"/>
        <v>0</v>
      </c>
      <c r="Q86" s="58">
        <f t="shared" si="67"/>
        <v>0</v>
      </c>
      <c r="R86" s="58">
        <f t="shared" si="67"/>
        <v>0</v>
      </c>
      <c r="S86" s="58">
        <f t="shared" si="67"/>
        <v>0</v>
      </c>
      <c r="T86" s="58">
        <f t="shared" si="67"/>
        <v>0</v>
      </c>
      <c r="U86" s="58">
        <f t="shared" si="67"/>
        <v>0</v>
      </c>
      <c r="V86" s="58">
        <f t="shared" si="67"/>
        <v>0</v>
      </c>
      <c r="AB86" s="66" t="s">
        <v>96</v>
      </c>
      <c r="AC86" s="2"/>
      <c r="AD86" s="2"/>
      <c r="AE86" s="2"/>
      <c r="AF86" s="2"/>
      <c r="AG86" s="2"/>
      <c r="AH86" s="2"/>
      <c r="AI86" s="2"/>
    </row>
    <row r="87" spans="1:35" x14ac:dyDescent="0.3">
      <c r="A87" s="14"/>
      <c r="B87" s="67"/>
      <c r="C87" s="67"/>
      <c r="D87" s="67"/>
      <c r="E87" s="67"/>
      <c r="F87" s="44"/>
      <c r="G87" s="44"/>
      <c r="H87" s="44"/>
      <c r="I87" s="44"/>
      <c r="J87" s="44"/>
      <c r="K87" s="44"/>
      <c r="L87" s="44"/>
      <c r="M87" s="44"/>
      <c r="N87" s="44"/>
      <c r="O87" s="44"/>
      <c r="P87" s="44"/>
      <c r="Q87" s="44"/>
      <c r="R87" s="44"/>
      <c r="S87" s="44"/>
      <c r="T87" s="44"/>
      <c r="U87" s="44"/>
      <c r="V87" s="44"/>
    </row>
    <row r="88" spans="1:35" ht="14.4" customHeight="1" x14ac:dyDescent="0.3">
      <c r="A88" s="14"/>
      <c r="B88" s="67"/>
      <c r="C88" s="67"/>
      <c r="D88" s="67"/>
      <c r="E88" s="67"/>
      <c r="F88" s="5" t="s">
        <v>60</v>
      </c>
      <c r="G88" s="25" t="s">
        <v>99</v>
      </c>
      <c r="H88" s="8"/>
      <c r="I88" s="8"/>
      <c r="J88" s="8"/>
      <c r="K88" s="8"/>
      <c r="L88" s="8"/>
      <c r="M88" s="8"/>
      <c r="N88" s="8"/>
      <c r="O88" s="5" t="s">
        <v>60</v>
      </c>
      <c r="P88" s="24" t="s">
        <v>99</v>
      </c>
      <c r="R88" s="8"/>
      <c r="S88" s="8"/>
      <c r="T88" s="8"/>
      <c r="U88" s="8"/>
      <c r="V88" s="8"/>
    </row>
    <row r="89" spans="1:35" s="67" customFormat="1" ht="15" customHeight="1" x14ac:dyDescent="0.3">
      <c r="A89" s="73"/>
      <c r="F89" s="86">
        <f t="shared" ref="F89:F102" si="68">B7</f>
        <v>1</v>
      </c>
      <c r="G89" s="91" t="str">
        <f t="shared" ref="G89:G102" si="69">AB7</f>
        <v>Bid Price; See Appendix A</v>
      </c>
      <c r="H89" s="91"/>
      <c r="I89" s="91"/>
      <c r="J89" s="91"/>
      <c r="K89" s="91"/>
      <c r="L89" s="91"/>
      <c r="M89" s="91"/>
      <c r="N89" s="91"/>
      <c r="O89" s="86">
        <f t="shared" ref="O89:O98" si="70">B49</f>
        <v>32</v>
      </c>
      <c r="P89" s="91" t="str">
        <f t="shared" ref="P89:P98" si="71">AB49</f>
        <v>-</v>
      </c>
      <c r="Q89" s="91" t="str">
        <f t="shared" ref="Q89:Q98" si="72">D49</f>
        <v>MWh</v>
      </c>
      <c r="R89" s="91">
        <f t="shared" ref="R89:R98" si="73">E49</f>
        <v>0</v>
      </c>
      <c r="S89" s="91">
        <f t="shared" ref="S89:S98" si="74">F49</f>
        <v>0</v>
      </c>
      <c r="T89" s="91">
        <f t="shared" ref="T89:T98" si="75">G49</f>
        <v>809</v>
      </c>
      <c r="U89" s="91">
        <f t="shared" ref="U89:U98" si="76">H49</f>
        <v>1606</v>
      </c>
      <c r="V89" s="91">
        <f t="shared" ref="V89:V98" si="77">I49</f>
        <v>0</v>
      </c>
      <c r="W89"/>
      <c r="X89"/>
      <c r="Y89"/>
      <c r="Z89"/>
      <c r="AA89"/>
      <c r="AB89" s="69"/>
      <c r="AC89" s="69"/>
      <c r="AD89" s="69"/>
      <c r="AE89" s="69"/>
      <c r="AF89" s="69"/>
    </row>
    <row r="90" spans="1:35" s="67" customFormat="1" ht="15" customHeight="1" x14ac:dyDescent="0.3">
      <c r="A90" s="73"/>
      <c r="F90" s="86">
        <f t="shared" si="68"/>
        <v>2</v>
      </c>
      <c r="G90" s="91" t="str">
        <f t="shared" si="69"/>
        <v>Hypothetical LEAC Rate at time of calculation</v>
      </c>
      <c r="H90" s="91"/>
      <c r="I90" s="91"/>
      <c r="J90" s="91"/>
      <c r="K90" s="91"/>
      <c r="L90" s="91"/>
      <c r="M90" s="91"/>
      <c r="N90" s="91"/>
      <c r="O90" s="86">
        <f t="shared" si="70"/>
        <v>33</v>
      </c>
      <c r="P90" s="91" t="str">
        <f t="shared" si="71"/>
        <v>-</v>
      </c>
      <c r="Q90" s="91" t="str">
        <f t="shared" si="72"/>
        <v>MWh</v>
      </c>
      <c r="R90" s="91">
        <f t="shared" si="73"/>
        <v>0</v>
      </c>
      <c r="S90" s="91">
        <f t="shared" si="74"/>
        <v>39672</v>
      </c>
      <c r="T90" s="91">
        <f t="shared" si="75"/>
        <v>40301</v>
      </c>
      <c r="U90" s="91">
        <f t="shared" si="76"/>
        <v>40192</v>
      </c>
      <c r="V90" s="91">
        <f t="shared" si="77"/>
        <v>35400</v>
      </c>
      <c r="W90"/>
      <c r="X90"/>
      <c r="Y90"/>
      <c r="Z90"/>
      <c r="AA90"/>
      <c r="AB90" s="69"/>
      <c r="AC90" s="69"/>
      <c r="AD90" s="69"/>
      <c r="AE90" s="69"/>
      <c r="AF90" s="69"/>
    </row>
    <row r="91" spans="1:35" s="67" customFormat="1" ht="15" customHeight="1" x14ac:dyDescent="0.3">
      <c r="A91" s="73"/>
      <c r="F91" s="86">
        <f t="shared" si="68"/>
        <v>3</v>
      </c>
      <c r="G91" s="91" t="str">
        <f t="shared" si="69"/>
        <v>If the Current LEAC Rate is less than the Contract Price, then $0, otherwise the LEAC Rate less the Contract Price</v>
      </c>
      <c r="H91" s="91"/>
      <c r="I91" s="91"/>
      <c r="J91" s="91"/>
      <c r="K91" s="91"/>
      <c r="L91" s="91"/>
      <c r="M91" s="91"/>
      <c r="N91" s="91"/>
      <c r="O91" s="86">
        <f t="shared" si="70"/>
        <v>34</v>
      </c>
      <c r="P91" s="91" t="str">
        <f t="shared" si="71"/>
        <v>-</v>
      </c>
      <c r="Q91" s="91" t="str">
        <f t="shared" si="72"/>
        <v>MWh</v>
      </c>
      <c r="R91" s="91">
        <f t="shared" si="73"/>
        <v>0</v>
      </c>
      <c r="S91" s="91">
        <f t="shared" si="74"/>
        <v>0</v>
      </c>
      <c r="T91" s="91">
        <f t="shared" si="75"/>
        <v>809</v>
      </c>
      <c r="U91" s="91">
        <f t="shared" si="76"/>
        <v>0</v>
      </c>
      <c r="V91" s="91">
        <f t="shared" si="77"/>
        <v>0</v>
      </c>
      <c r="W91"/>
      <c r="X91"/>
      <c r="Y91"/>
      <c r="Z91"/>
      <c r="AA91"/>
      <c r="AB91" s="69"/>
      <c r="AC91" s="69"/>
      <c r="AD91" s="69"/>
      <c r="AE91" s="69"/>
      <c r="AF91" s="69"/>
    </row>
    <row r="92" spans="1:35" s="67" customFormat="1" ht="15" customHeight="1" x14ac:dyDescent="0.3">
      <c r="A92" s="73"/>
      <c r="F92" s="86">
        <f t="shared" si="68"/>
        <v>4</v>
      </c>
      <c r="G92" s="91" t="str">
        <f t="shared" si="69"/>
        <v>Lesser of the Contract Price or current LEAC Rate</v>
      </c>
      <c r="H92" s="91"/>
      <c r="I92" s="91"/>
      <c r="J92" s="91"/>
      <c r="K92" s="91"/>
      <c r="L92" s="91"/>
      <c r="M92" s="91"/>
      <c r="N92" s="91"/>
      <c r="O92" s="86">
        <f t="shared" si="70"/>
        <v>35</v>
      </c>
      <c r="P92" s="91" t="str">
        <f t="shared" si="71"/>
        <v>-</v>
      </c>
      <c r="Q92" s="91" t="str">
        <f t="shared" si="72"/>
        <v>MWh</v>
      </c>
      <c r="R92" s="91">
        <f t="shared" si="73"/>
        <v>0</v>
      </c>
      <c r="S92" s="91">
        <f t="shared" si="74"/>
        <v>0</v>
      </c>
      <c r="T92" s="91">
        <f t="shared" si="75"/>
        <v>0</v>
      </c>
      <c r="U92" s="91">
        <f t="shared" si="76"/>
        <v>21</v>
      </c>
      <c r="V92" s="91">
        <f t="shared" si="77"/>
        <v>0</v>
      </c>
      <c r="W92"/>
      <c r="X92"/>
      <c r="Y92"/>
      <c r="Z92"/>
      <c r="AA92"/>
      <c r="AB92" s="69"/>
      <c r="AC92" s="69"/>
      <c r="AD92" s="69"/>
      <c r="AE92" s="69"/>
      <c r="AF92" s="69"/>
    </row>
    <row r="93" spans="1:35" s="67" customFormat="1" ht="15" customHeight="1" x14ac:dyDescent="0.3">
      <c r="A93" s="73"/>
      <c r="F93" s="86">
        <f t="shared" si="68"/>
        <v>5</v>
      </c>
      <c r="G93" s="91" t="str">
        <f t="shared" si="69"/>
        <v>Bid annual amount to be delivered; See Appendix A</v>
      </c>
      <c r="H93" s="91"/>
      <c r="I93" s="91"/>
      <c r="J93" s="91"/>
      <c r="K93" s="91"/>
      <c r="L93" s="91"/>
      <c r="M93" s="91"/>
      <c r="N93" s="91"/>
      <c r="O93" s="86">
        <f t="shared" si="70"/>
        <v>36</v>
      </c>
      <c r="P93" s="91" t="str">
        <f t="shared" si="71"/>
        <v>-</v>
      </c>
      <c r="Q93" s="91" t="str">
        <f t="shared" si="72"/>
        <v>MWh</v>
      </c>
      <c r="R93" s="91">
        <f t="shared" si="73"/>
        <v>0</v>
      </c>
      <c r="S93" s="91">
        <f t="shared" si="74"/>
        <v>0</v>
      </c>
      <c r="T93" s="91">
        <f t="shared" si="75"/>
        <v>0</v>
      </c>
      <c r="U93" s="91">
        <f t="shared" si="76"/>
        <v>0</v>
      </c>
      <c r="V93" s="91">
        <f t="shared" si="77"/>
        <v>0</v>
      </c>
      <c r="W93"/>
      <c r="X93"/>
      <c r="Y93"/>
      <c r="Z93"/>
      <c r="AA93"/>
      <c r="AB93" s="69"/>
      <c r="AC93" s="69"/>
      <c r="AD93" s="69"/>
      <c r="AE93" s="69"/>
      <c r="AF93" s="69"/>
    </row>
    <row r="94" spans="1:35" s="67" customFormat="1" ht="15" customHeight="1" x14ac:dyDescent="0.3">
      <c r="A94" s="73"/>
      <c r="F94" s="86">
        <f t="shared" si="68"/>
        <v>6</v>
      </c>
      <c r="G94" s="91" t="str">
        <f t="shared" si="69"/>
        <v>90% of Minimum Production, amount which must be delivered each year or Shortfall Damages paid; See Appendix A</v>
      </c>
      <c r="H94" s="91"/>
      <c r="I94" s="91"/>
      <c r="J94" s="91"/>
      <c r="K94" s="91"/>
      <c r="L94" s="91"/>
      <c r="M94" s="91"/>
      <c r="N94" s="91"/>
      <c r="O94" s="86">
        <f t="shared" si="70"/>
        <v>37</v>
      </c>
      <c r="P94" s="91" t="str">
        <f t="shared" si="71"/>
        <v>-</v>
      </c>
      <c r="Q94" s="91" t="str">
        <f t="shared" si="72"/>
        <v>MWh</v>
      </c>
      <c r="R94" s="91">
        <f t="shared" si="73"/>
        <v>0</v>
      </c>
      <c r="S94" s="91">
        <f t="shared" si="74"/>
        <v>0</v>
      </c>
      <c r="T94" s="91">
        <f t="shared" si="75"/>
        <v>0</v>
      </c>
      <c r="U94" s="91">
        <f t="shared" si="76"/>
        <v>0</v>
      </c>
      <c r="V94" s="91">
        <f t="shared" si="77"/>
        <v>0</v>
      </c>
      <c r="W94"/>
      <c r="X94"/>
      <c r="Y94"/>
      <c r="Z94"/>
      <c r="AA94"/>
      <c r="AB94" s="69"/>
      <c r="AC94" s="69"/>
      <c r="AD94" s="69"/>
      <c r="AE94" s="69"/>
      <c r="AF94" s="69"/>
    </row>
    <row r="95" spans="1:35" s="67" customFormat="1" ht="15" customHeight="1" x14ac:dyDescent="0.3">
      <c r="A95" s="73"/>
      <c r="F95" s="86">
        <f t="shared" si="68"/>
        <v>7</v>
      </c>
      <c r="G95" s="91" t="str">
        <f t="shared" si="69"/>
        <v>Hypothetical Actual Production (Metered Data)</v>
      </c>
      <c r="H95" s="91"/>
      <c r="I95" s="91"/>
      <c r="J95" s="91"/>
      <c r="K95" s="91"/>
      <c r="L95" s="91"/>
      <c r="M95" s="91"/>
      <c r="N95" s="91"/>
      <c r="O95" s="86">
        <f t="shared" si="70"/>
        <v>38</v>
      </c>
      <c r="P95" s="91" t="str">
        <f t="shared" si="71"/>
        <v>-</v>
      </c>
      <c r="Q95" s="91" t="str">
        <f t="shared" si="72"/>
        <v>MWh</v>
      </c>
      <c r="R95" s="91">
        <f t="shared" si="73"/>
        <v>0</v>
      </c>
      <c r="S95" s="91">
        <f t="shared" si="74"/>
        <v>0</v>
      </c>
      <c r="T95" s="91">
        <f t="shared" si="75"/>
        <v>0</v>
      </c>
      <c r="U95" s="91">
        <f t="shared" si="76"/>
        <v>0</v>
      </c>
      <c r="V95" s="91">
        <f t="shared" si="77"/>
        <v>0</v>
      </c>
      <c r="W95"/>
      <c r="X95"/>
      <c r="Y95"/>
      <c r="Z95"/>
      <c r="AA95"/>
      <c r="AB95" s="69"/>
      <c r="AC95" s="69"/>
      <c r="AD95" s="69"/>
      <c r="AE95" s="69"/>
      <c r="AF95" s="69"/>
    </row>
    <row r="96" spans="1:35" s="67" customFormat="1" ht="27" customHeight="1" x14ac:dyDescent="0.3">
      <c r="A96" s="73"/>
      <c r="D96" s="69"/>
      <c r="E96" s="69"/>
      <c r="F96" s="86">
        <f t="shared" si="68"/>
        <v>8</v>
      </c>
      <c r="G96" s="91" t="str">
        <f t="shared" si="69"/>
        <v>Dispatched Down Lost Revenue Production, treated the same as actual production</v>
      </c>
      <c r="H96" s="91"/>
      <c r="I96" s="91"/>
      <c r="J96" s="91"/>
      <c r="K96" s="91"/>
      <c r="L96" s="91"/>
      <c r="M96" s="91"/>
      <c r="N96" s="91"/>
      <c r="O96" s="86">
        <f t="shared" si="70"/>
        <v>39</v>
      </c>
      <c r="P96" s="91" t="str">
        <f t="shared" si="71"/>
        <v>Seller can choose when to apply this Dispatch Down Makeup Production that was part of its Minimum Production. Must be recovered in a year or over several years where there is Production Above Minimum + Deficit Allotments</v>
      </c>
      <c r="Q96" s="91" t="str">
        <f t="shared" si="72"/>
        <v>MWh</v>
      </c>
      <c r="R96" s="91">
        <f t="shared" si="73"/>
        <v>0</v>
      </c>
      <c r="S96" s="91">
        <f t="shared" si="74"/>
        <v>0</v>
      </c>
      <c r="T96" s="91">
        <f t="shared" si="75"/>
        <v>0</v>
      </c>
      <c r="U96" s="91">
        <f t="shared" si="76"/>
        <v>0</v>
      </c>
      <c r="V96" s="91">
        <f t="shared" si="77"/>
        <v>0</v>
      </c>
      <c r="W96"/>
      <c r="X96"/>
      <c r="Y96"/>
      <c r="Z96"/>
      <c r="AA96"/>
      <c r="AB96" s="69"/>
      <c r="AC96" s="69"/>
      <c r="AD96" s="69"/>
      <c r="AE96" s="69"/>
      <c r="AF96" s="69"/>
    </row>
    <row r="97" spans="1:32" s="67" customFormat="1" ht="15" customHeight="1" x14ac:dyDescent="0.3">
      <c r="A97" s="73"/>
      <c r="D97" s="69"/>
      <c r="E97" s="69"/>
      <c r="F97" s="86">
        <f t="shared" si="68"/>
        <v>9</v>
      </c>
      <c r="G97" s="91" t="str">
        <f t="shared" si="69"/>
        <v>Actual plus Dispatched Down Lost Revenue Production</v>
      </c>
      <c r="H97" s="91"/>
      <c r="I97" s="91"/>
      <c r="J97" s="91"/>
      <c r="K97" s="91"/>
      <c r="L97" s="91"/>
      <c r="M97" s="91"/>
      <c r="N97" s="91"/>
      <c r="O97" s="86">
        <f t="shared" si="70"/>
        <v>40</v>
      </c>
      <c r="P97" s="91" t="str">
        <f t="shared" si="71"/>
        <v>-</v>
      </c>
      <c r="Q97" s="91" t="str">
        <f t="shared" si="72"/>
        <v>MWh</v>
      </c>
      <c r="R97" s="91">
        <f t="shared" si="73"/>
        <v>0</v>
      </c>
      <c r="S97" s="91">
        <f t="shared" si="74"/>
        <v>0</v>
      </c>
      <c r="T97" s="91">
        <f t="shared" si="75"/>
        <v>0</v>
      </c>
      <c r="U97" s="91">
        <f t="shared" si="76"/>
        <v>1585</v>
      </c>
      <c r="V97" s="91">
        <f t="shared" si="77"/>
        <v>0</v>
      </c>
      <c r="W97"/>
      <c r="X97"/>
      <c r="Y97"/>
      <c r="Z97"/>
      <c r="AA97"/>
      <c r="AB97" s="69"/>
      <c r="AC97" s="69"/>
      <c r="AD97" s="69"/>
      <c r="AE97" s="69"/>
      <c r="AF97" s="69"/>
    </row>
    <row r="98" spans="1:32" s="67" customFormat="1" ht="15" customHeight="1" x14ac:dyDescent="0.3">
      <c r="A98" s="73"/>
      <c r="D98" s="69"/>
      <c r="E98" s="69"/>
      <c r="F98" s="86">
        <f t="shared" si="68"/>
        <v>10</v>
      </c>
      <c r="G98" s="91" t="str">
        <f t="shared" si="69"/>
        <v>Hypothetical modeled production based on current year's weather data</v>
      </c>
      <c r="H98" s="91"/>
      <c r="I98" s="91"/>
      <c r="J98" s="91"/>
      <c r="K98" s="91"/>
      <c r="L98" s="91"/>
      <c r="M98" s="91"/>
      <c r="N98" s="91"/>
      <c r="O98" s="86">
        <f t="shared" si="70"/>
        <v>41</v>
      </c>
      <c r="P98" s="91" t="str">
        <f t="shared" si="71"/>
        <v>-</v>
      </c>
      <c r="Q98" s="91" t="str">
        <f t="shared" si="72"/>
        <v>MWh</v>
      </c>
      <c r="R98" s="91">
        <f t="shared" si="73"/>
        <v>0</v>
      </c>
      <c r="S98" s="91">
        <f t="shared" si="74"/>
        <v>39672</v>
      </c>
      <c r="T98" s="91">
        <f t="shared" si="75"/>
        <v>41110</v>
      </c>
      <c r="U98" s="91">
        <f t="shared" si="76"/>
        <v>41798</v>
      </c>
      <c r="V98" s="91">
        <f t="shared" si="77"/>
        <v>35400</v>
      </c>
      <c r="W98"/>
      <c r="X98"/>
      <c r="Y98"/>
      <c r="Z98"/>
      <c r="AA98"/>
      <c r="AB98" s="69"/>
      <c r="AC98" s="69"/>
      <c r="AD98" s="69"/>
      <c r="AE98" s="69"/>
      <c r="AF98" s="69"/>
    </row>
    <row r="99" spans="1:32" s="67" customFormat="1" ht="15" customHeight="1" x14ac:dyDescent="0.3">
      <c r="A99" s="73"/>
      <c r="D99" s="69"/>
      <c r="E99" s="69"/>
      <c r="F99" s="86">
        <f t="shared" si="68"/>
        <v>11</v>
      </c>
      <c r="G99" s="91" t="str">
        <f t="shared" si="69"/>
        <v>Hypothetical modeled production based on historical average weather data</v>
      </c>
      <c r="H99" s="91"/>
      <c r="I99" s="91"/>
      <c r="J99" s="91"/>
      <c r="K99" s="91"/>
      <c r="L99" s="91"/>
      <c r="M99" s="91"/>
      <c r="N99" s="91"/>
      <c r="O99" s="86">
        <f t="shared" ref="O99:O107" si="78">B61</f>
        <v>42</v>
      </c>
      <c r="P99" s="91" t="str">
        <f t="shared" ref="P99:P107" si="79">AB61</f>
        <v>-</v>
      </c>
      <c r="Q99" s="91" t="str">
        <f t="shared" ref="Q99:Q107" si="80">D61</f>
        <v>$</v>
      </c>
      <c r="R99" s="91">
        <f t="shared" ref="R99:R107" si="81">E61</f>
        <v>0</v>
      </c>
      <c r="S99" s="91">
        <f t="shared" ref="S99:S107" si="82">F61</f>
        <v>7775712</v>
      </c>
      <c r="T99" s="91">
        <f t="shared" ref="T99:T107" si="83">G61</f>
        <v>7939297</v>
      </c>
      <c r="U99" s="91">
        <f t="shared" ref="U99:U107" si="84">H61</f>
        <v>7958016</v>
      </c>
      <c r="V99" s="91">
        <f t="shared" ref="V99:V107" si="85">I61</f>
        <v>7044600</v>
      </c>
      <c r="W99"/>
      <c r="X99"/>
      <c r="Y99"/>
      <c r="Z99"/>
      <c r="AA99"/>
      <c r="AB99" s="69"/>
      <c r="AC99" s="69"/>
      <c r="AD99" s="69"/>
      <c r="AE99" s="69"/>
      <c r="AF99" s="69"/>
    </row>
    <row r="100" spans="1:32" s="67" customFormat="1" ht="15" customHeight="1" x14ac:dyDescent="0.3">
      <c r="A100" s="73"/>
      <c r="D100" s="69"/>
      <c r="E100" s="69"/>
      <c r="F100" s="86">
        <f t="shared" si="68"/>
        <v>12</v>
      </c>
      <c r="G100" s="91" t="str">
        <f t="shared" si="69"/>
        <v>Modeled Expected Production/Modeled Historical Production</v>
      </c>
      <c r="H100" s="91"/>
      <c r="I100" s="91"/>
      <c r="J100" s="91"/>
      <c r="K100" s="91"/>
      <c r="L100" s="91"/>
      <c r="M100" s="91"/>
      <c r="N100" s="91"/>
      <c r="O100" s="86">
        <f t="shared" si="78"/>
        <v>43</v>
      </c>
      <c r="P100" s="91" t="str">
        <f t="shared" si="79"/>
        <v>-</v>
      </c>
      <c r="Q100" s="91" t="str">
        <f t="shared" si="80"/>
        <v>$</v>
      </c>
      <c r="R100" s="91">
        <f t="shared" si="81"/>
        <v>0</v>
      </c>
      <c r="S100" s="91">
        <f t="shared" si="82"/>
        <v>0</v>
      </c>
      <c r="T100" s="91">
        <f t="shared" si="83"/>
        <v>159373</v>
      </c>
      <c r="U100" s="91">
        <f t="shared" si="84"/>
        <v>0</v>
      </c>
      <c r="V100" s="91">
        <f t="shared" si="85"/>
        <v>0</v>
      </c>
      <c r="W100"/>
      <c r="X100"/>
      <c r="Y100"/>
      <c r="Z100"/>
      <c r="AA100"/>
      <c r="AB100" s="69"/>
      <c r="AC100" s="69"/>
      <c r="AD100" s="69"/>
      <c r="AE100" s="69"/>
      <c r="AF100" s="69"/>
    </row>
    <row r="101" spans="1:32" s="67" customFormat="1" ht="15" customHeight="1" x14ac:dyDescent="0.3">
      <c r="A101" s="73"/>
      <c r="D101" s="69"/>
      <c r="E101" s="69"/>
      <c r="F101" s="86">
        <f t="shared" si="68"/>
        <v>13</v>
      </c>
      <c r="G101" s="91" t="str">
        <f t="shared" si="69"/>
        <v>Actual Production plus Excused Hours less Minimum Production</v>
      </c>
      <c r="H101" s="91"/>
      <c r="I101" s="91"/>
      <c r="J101" s="91"/>
      <c r="K101" s="91"/>
      <c r="L101" s="91"/>
      <c r="M101" s="91"/>
      <c r="N101" s="91"/>
      <c r="O101" s="86">
        <f t="shared" si="78"/>
        <v>44</v>
      </c>
      <c r="P101" s="91" t="str">
        <f t="shared" si="79"/>
        <v>-</v>
      </c>
      <c r="Q101" s="91" t="str">
        <f t="shared" si="80"/>
        <v>$</v>
      </c>
      <c r="R101" s="91">
        <f t="shared" si="81"/>
        <v>0</v>
      </c>
      <c r="S101" s="91">
        <f t="shared" si="82"/>
        <v>0</v>
      </c>
      <c r="T101" s="91">
        <f t="shared" si="83"/>
        <v>0</v>
      </c>
      <c r="U101" s="91">
        <f t="shared" si="84"/>
        <v>4118</v>
      </c>
      <c r="V101" s="91">
        <f t="shared" si="85"/>
        <v>0</v>
      </c>
      <c r="W101"/>
      <c r="X101"/>
      <c r="Y101"/>
      <c r="Z101"/>
      <c r="AA101"/>
      <c r="AB101" s="69"/>
      <c r="AC101" s="69"/>
      <c r="AD101" s="69"/>
      <c r="AE101" s="69"/>
      <c r="AF101" s="69"/>
    </row>
    <row r="102" spans="1:32" s="67" customFormat="1" ht="15" customHeight="1" x14ac:dyDescent="0.3">
      <c r="A102" s="73"/>
      <c r="D102" s="69"/>
      <c r="E102" s="69"/>
      <c r="F102" s="86">
        <f t="shared" si="68"/>
        <v>14</v>
      </c>
      <c r="G102" s="91" t="str">
        <f t="shared" si="69"/>
        <v>Annual Allowable Dispatch Down Makeup Production</v>
      </c>
      <c r="H102" s="91"/>
      <c r="I102" s="91"/>
      <c r="J102" s="91"/>
      <c r="K102" s="91"/>
      <c r="L102" s="91"/>
      <c r="M102" s="91"/>
      <c r="N102" s="91"/>
      <c r="O102" s="86">
        <f t="shared" si="78"/>
        <v>45</v>
      </c>
      <c r="P102" s="91" t="str">
        <f t="shared" si="79"/>
        <v>-</v>
      </c>
      <c r="Q102" s="91" t="str">
        <f t="shared" si="80"/>
        <v>$</v>
      </c>
      <c r="R102" s="91">
        <f t="shared" si="81"/>
        <v>0</v>
      </c>
      <c r="S102" s="91">
        <f t="shared" si="82"/>
        <v>0</v>
      </c>
      <c r="T102" s="91">
        <f t="shared" si="83"/>
        <v>0</v>
      </c>
      <c r="U102" s="91">
        <f t="shared" si="84"/>
        <v>0</v>
      </c>
      <c r="V102" s="91">
        <f t="shared" si="85"/>
        <v>0</v>
      </c>
      <c r="W102"/>
      <c r="X102"/>
      <c r="Y102"/>
      <c r="Z102"/>
      <c r="AA102"/>
      <c r="AB102" s="69"/>
      <c r="AC102" s="69"/>
      <c r="AD102" s="69"/>
      <c r="AE102" s="69"/>
      <c r="AF102" s="69"/>
    </row>
    <row r="103" spans="1:32" s="67" customFormat="1" ht="15" customHeight="1" x14ac:dyDescent="0.3">
      <c r="A103" s="73"/>
      <c r="D103" s="69"/>
      <c r="E103" s="69"/>
      <c r="F103" s="86">
        <f>B23</f>
        <v>15</v>
      </c>
      <c r="G103" s="91" t="str">
        <f>AB23</f>
        <v>If Total Annual Production is greater than Minimum Production, Total Annual Production less Min. Production, otherwise 0 MWh.</v>
      </c>
      <c r="H103" s="91"/>
      <c r="I103" s="91"/>
      <c r="J103" s="91"/>
      <c r="K103" s="91"/>
      <c r="L103" s="91"/>
      <c r="M103" s="91"/>
      <c r="N103" s="91"/>
      <c r="O103" s="86">
        <f t="shared" si="78"/>
        <v>46</v>
      </c>
      <c r="P103" s="91" t="str">
        <f t="shared" si="79"/>
        <v>-</v>
      </c>
      <c r="Q103" s="91" t="str">
        <f t="shared" si="80"/>
        <v>$</v>
      </c>
      <c r="R103" s="91">
        <f t="shared" si="81"/>
        <v>0</v>
      </c>
      <c r="S103" s="91">
        <f t="shared" si="82"/>
        <v>0</v>
      </c>
      <c r="T103" s="91">
        <f t="shared" si="83"/>
        <v>0</v>
      </c>
      <c r="U103" s="91">
        <f t="shared" si="84"/>
        <v>0</v>
      </c>
      <c r="V103" s="91">
        <f t="shared" si="85"/>
        <v>0</v>
      </c>
      <c r="W103"/>
      <c r="X103"/>
      <c r="Y103"/>
      <c r="Z103"/>
      <c r="AA103"/>
      <c r="AB103" s="69"/>
      <c r="AC103" s="69"/>
      <c r="AD103" s="69"/>
      <c r="AE103" s="69"/>
      <c r="AF103" s="69"/>
    </row>
    <row r="104" spans="1:32" s="67" customFormat="1" ht="62.4" customHeight="1" x14ac:dyDescent="0.3">
      <c r="A104" s="73"/>
      <c r="D104" s="69"/>
      <c r="E104" s="69"/>
      <c r="F104" s="86">
        <f>B24</f>
        <v>16</v>
      </c>
      <c r="G104" s="91" t="str">
        <f>AB24</f>
        <v>Up to 10% of Min. Prod. + Production Excused for Weather Hours. Carries forward Excused Hours Production as a Deficit, but this production will not be subject to shortfall damages if not made up in 5 years. If Total Annual Production is less than the Guaranteed Production, 10% of Minimum, otherwise, if Total Annual Production is less than the Minimum, the difference between Actual and Minimum, otherwise 0 MWh.</v>
      </c>
      <c r="H104" s="91"/>
      <c r="I104" s="91"/>
      <c r="J104" s="91"/>
      <c r="K104" s="91"/>
      <c r="L104" s="91"/>
      <c r="M104" s="91"/>
      <c r="N104" s="91"/>
      <c r="O104" s="86">
        <f t="shared" si="78"/>
        <v>47</v>
      </c>
      <c r="P104" s="91" t="str">
        <f t="shared" si="79"/>
        <v>-</v>
      </c>
      <c r="Q104" s="91" t="str">
        <f t="shared" si="80"/>
        <v>$</v>
      </c>
      <c r="R104" s="91">
        <f t="shared" si="81"/>
        <v>0</v>
      </c>
      <c r="S104" s="91">
        <f t="shared" si="82"/>
        <v>0</v>
      </c>
      <c r="T104" s="91">
        <f t="shared" si="83"/>
        <v>0</v>
      </c>
      <c r="U104" s="91">
        <f t="shared" si="84"/>
        <v>0</v>
      </c>
      <c r="V104" s="91">
        <f t="shared" si="85"/>
        <v>0</v>
      </c>
      <c r="W104"/>
      <c r="X104"/>
      <c r="Y104"/>
      <c r="Z104"/>
      <c r="AA104"/>
      <c r="AB104" s="69"/>
      <c r="AC104" s="69"/>
      <c r="AD104" s="69"/>
      <c r="AE104" s="69"/>
      <c r="AF104" s="69"/>
    </row>
    <row r="105" spans="1:32" s="67" customFormat="1" ht="30" customHeight="1" x14ac:dyDescent="0.3">
      <c r="A105" s="73"/>
      <c r="D105" s="69"/>
      <c r="E105" s="69"/>
      <c r="F105" s="86">
        <f t="shared" ref="F105:F110" si="86">B26</f>
        <v>17</v>
      </c>
      <c r="G105" s="91" t="str">
        <f t="shared" ref="G105:G110" si="87">AB26</f>
        <v>-</v>
      </c>
      <c r="H105" s="91"/>
      <c r="I105" s="91"/>
      <c r="J105" s="91"/>
      <c r="K105" s="91"/>
      <c r="L105" s="91"/>
      <c r="M105" s="91"/>
      <c r="N105" s="91"/>
      <c r="O105" s="86">
        <f t="shared" si="78"/>
        <v>48</v>
      </c>
      <c r="P105" s="91" t="str">
        <f t="shared" si="79"/>
        <v>Seller can choose when to apply this Dispatch Down Makeup Production that was part of its Minimum Production. Must be recovered in a year or over several years where there is Production Above Minimum + Deficit Allotments</v>
      </c>
      <c r="Q105" s="91">
        <f t="shared" si="80"/>
        <v>0</v>
      </c>
      <c r="R105" s="91">
        <f t="shared" si="81"/>
        <v>0</v>
      </c>
      <c r="S105" s="91">
        <f t="shared" si="82"/>
        <v>0</v>
      </c>
      <c r="T105" s="91">
        <f t="shared" si="83"/>
        <v>0</v>
      </c>
      <c r="U105" s="91">
        <f t="shared" si="84"/>
        <v>0</v>
      </c>
      <c r="V105" s="91">
        <f t="shared" si="85"/>
        <v>0</v>
      </c>
      <c r="W105"/>
      <c r="X105"/>
      <c r="Y105"/>
      <c r="Z105"/>
      <c r="AA105"/>
      <c r="AB105" s="69"/>
      <c r="AC105" s="69"/>
      <c r="AD105" s="69"/>
      <c r="AE105" s="69"/>
      <c r="AF105" s="69"/>
    </row>
    <row r="106" spans="1:32" s="67" customFormat="1" ht="15" customHeight="1" x14ac:dyDescent="0.3">
      <c r="A106" s="73"/>
      <c r="D106" s="69"/>
      <c r="E106" s="69"/>
      <c r="F106" s="86">
        <f t="shared" si="86"/>
        <v>18</v>
      </c>
      <c r="G106" s="91" t="str">
        <f t="shared" si="87"/>
        <v>-</v>
      </c>
      <c r="H106" s="91"/>
      <c r="I106" s="91"/>
      <c r="J106" s="91"/>
      <c r="K106" s="91"/>
      <c r="L106" s="91"/>
      <c r="M106" s="91"/>
      <c r="N106" s="91"/>
      <c r="O106" s="86">
        <f t="shared" si="78"/>
        <v>49</v>
      </c>
      <c r="P106" s="91" t="str">
        <f t="shared" si="79"/>
        <v>-</v>
      </c>
      <c r="Q106" s="91" t="str">
        <f t="shared" si="80"/>
        <v>$</v>
      </c>
      <c r="R106" s="91">
        <f t="shared" si="81"/>
        <v>0</v>
      </c>
      <c r="S106" s="91">
        <f t="shared" si="82"/>
        <v>0</v>
      </c>
      <c r="T106" s="91">
        <f t="shared" si="83"/>
        <v>0</v>
      </c>
      <c r="U106" s="91">
        <f t="shared" si="84"/>
        <v>283715</v>
      </c>
      <c r="V106" s="91">
        <f t="shared" si="85"/>
        <v>0</v>
      </c>
      <c r="W106"/>
      <c r="X106"/>
      <c r="Y106"/>
      <c r="Z106"/>
      <c r="AA106"/>
      <c r="AB106" s="69"/>
      <c r="AC106" s="69"/>
      <c r="AD106" s="69"/>
      <c r="AE106" s="69"/>
      <c r="AF106" s="69"/>
    </row>
    <row r="107" spans="1:32" s="67" customFormat="1" ht="15" customHeight="1" x14ac:dyDescent="0.3">
      <c r="A107" s="73"/>
      <c r="D107" s="69"/>
      <c r="E107" s="69"/>
      <c r="F107" s="86">
        <f t="shared" si="86"/>
        <v>19</v>
      </c>
      <c r="G107" s="91" t="str">
        <f t="shared" si="87"/>
        <v>-</v>
      </c>
      <c r="H107" s="91"/>
      <c r="I107" s="91"/>
      <c r="J107" s="91"/>
      <c r="K107" s="91"/>
      <c r="L107" s="91"/>
      <c r="M107" s="91"/>
      <c r="N107" s="91"/>
      <c r="O107" s="86">
        <f t="shared" si="78"/>
        <v>50</v>
      </c>
      <c r="P107" s="91" t="str">
        <f t="shared" si="79"/>
        <v>-</v>
      </c>
      <c r="Q107" s="91" t="str">
        <f t="shared" si="80"/>
        <v>$</v>
      </c>
      <c r="R107" s="91">
        <f t="shared" si="81"/>
        <v>0</v>
      </c>
      <c r="S107" s="91">
        <f t="shared" si="82"/>
        <v>7775712</v>
      </c>
      <c r="T107" s="91">
        <f t="shared" si="83"/>
        <v>8098670</v>
      </c>
      <c r="U107" s="91">
        <f t="shared" si="84"/>
        <v>8245849</v>
      </c>
      <c r="V107" s="91">
        <f t="shared" si="85"/>
        <v>7044600</v>
      </c>
      <c r="W107"/>
      <c r="X107"/>
      <c r="Y107"/>
      <c r="Z107"/>
      <c r="AA107"/>
      <c r="AB107" s="69"/>
      <c r="AC107" s="69"/>
      <c r="AD107" s="69"/>
      <c r="AE107" s="69"/>
      <c r="AF107" s="69"/>
    </row>
    <row r="108" spans="1:32" s="67" customFormat="1" ht="15" customHeight="1" x14ac:dyDescent="0.3">
      <c r="A108" s="73"/>
      <c r="D108" s="69"/>
      <c r="E108" s="69"/>
      <c r="F108" s="86">
        <f t="shared" si="86"/>
        <v>20</v>
      </c>
      <c r="G108" s="91" t="str">
        <f t="shared" si="87"/>
        <v>-</v>
      </c>
      <c r="H108" s="91"/>
      <c r="I108" s="91"/>
      <c r="J108" s="91"/>
      <c r="K108" s="91"/>
      <c r="L108" s="91"/>
      <c r="M108" s="91"/>
      <c r="N108" s="91"/>
      <c r="O108" s="86">
        <f>B72</f>
        <v>51</v>
      </c>
      <c r="P108" s="91" t="str">
        <f>AB72</f>
        <v>-</v>
      </c>
      <c r="Q108" s="91" t="str">
        <f t="shared" ref="Q108:V110" si="88">D72</f>
        <v>$</v>
      </c>
      <c r="R108" s="91">
        <f t="shared" si="88"/>
        <v>0</v>
      </c>
      <c r="S108" s="91">
        <f t="shared" si="88"/>
        <v>7775712</v>
      </c>
      <c r="T108" s="91">
        <f t="shared" si="88"/>
        <v>8098670</v>
      </c>
      <c r="U108" s="91">
        <f t="shared" si="88"/>
        <v>8245849</v>
      </c>
      <c r="V108" s="91">
        <f t="shared" si="88"/>
        <v>7044600</v>
      </c>
      <c r="W108"/>
      <c r="X108"/>
      <c r="Y108"/>
      <c r="Z108"/>
      <c r="AA108"/>
      <c r="AB108" s="69"/>
      <c r="AC108" s="69"/>
      <c r="AD108" s="69"/>
      <c r="AE108" s="69"/>
      <c r="AF108" s="69"/>
    </row>
    <row r="109" spans="1:32" s="67" customFormat="1" ht="15" customHeight="1" x14ac:dyDescent="0.3">
      <c r="A109" s="73"/>
      <c r="D109" s="69"/>
      <c r="E109" s="69"/>
      <c r="F109" s="86">
        <f t="shared" si="86"/>
        <v>21</v>
      </c>
      <c r="G109" s="91" t="str">
        <f t="shared" si="87"/>
        <v>-</v>
      </c>
      <c r="H109" s="91"/>
      <c r="I109" s="91"/>
      <c r="J109" s="91"/>
      <c r="K109" s="91"/>
      <c r="L109" s="91"/>
      <c r="M109" s="91"/>
      <c r="N109" s="91"/>
      <c r="O109" s="86">
        <f>B73</f>
        <v>52</v>
      </c>
      <c r="P109" s="91" t="str">
        <f>AB73</f>
        <v>-</v>
      </c>
      <c r="Q109" s="91" t="str">
        <f t="shared" si="88"/>
        <v>$</v>
      </c>
      <c r="R109" s="91">
        <f t="shared" si="88"/>
        <v>0</v>
      </c>
      <c r="S109" s="91">
        <f t="shared" si="88"/>
        <v>0</v>
      </c>
      <c r="T109" s="91">
        <f t="shared" si="88"/>
        <v>0</v>
      </c>
      <c r="U109" s="91">
        <f t="shared" si="88"/>
        <v>0</v>
      </c>
      <c r="V109" s="91">
        <f t="shared" si="88"/>
        <v>-272</v>
      </c>
      <c r="W109"/>
      <c r="X109"/>
      <c r="Y109"/>
      <c r="Z109"/>
      <c r="AA109"/>
      <c r="AB109" s="69"/>
      <c r="AC109" s="69"/>
      <c r="AD109" s="69"/>
      <c r="AE109" s="69"/>
      <c r="AF109" s="69"/>
    </row>
    <row r="110" spans="1:32" s="67" customFormat="1" ht="15" customHeight="1" x14ac:dyDescent="0.3">
      <c r="A110" s="73"/>
      <c r="D110" s="69"/>
      <c r="E110" s="69"/>
      <c r="F110" s="86">
        <f t="shared" si="86"/>
        <v>22</v>
      </c>
      <c r="G110" s="91" t="str">
        <f t="shared" si="87"/>
        <v>Rolling deficiency at end of each contract year</v>
      </c>
      <c r="H110" s="91"/>
      <c r="I110" s="91"/>
      <c r="J110" s="91"/>
      <c r="K110" s="91"/>
      <c r="L110" s="91"/>
      <c r="M110" s="91"/>
      <c r="N110" s="91"/>
      <c r="O110" s="86">
        <f>B74</f>
        <v>53</v>
      </c>
      <c r="P110" s="91" t="str">
        <f>AB74</f>
        <v>-</v>
      </c>
      <c r="Q110" s="91" t="str">
        <f t="shared" si="88"/>
        <v>$</v>
      </c>
      <c r="R110" s="91">
        <f t="shared" si="88"/>
        <v>0</v>
      </c>
      <c r="S110" s="91">
        <f t="shared" si="88"/>
        <v>7775712</v>
      </c>
      <c r="T110" s="91">
        <f t="shared" si="88"/>
        <v>8098670</v>
      </c>
      <c r="U110" s="91">
        <f t="shared" si="88"/>
        <v>8245849</v>
      </c>
      <c r="V110" s="91">
        <f t="shared" si="88"/>
        <v>7044328</v>
      </c>
      <c r="W110"/>
      <c r="X110"/>
      <c r="Y110"/>
      <c r="Z110"/>
      <c r="AA110"/>
      <c r="AB110" s="69"/>
      <c r="AC110" s="69"/>
      <c r="AD110" s="69"/>
      <c r="AE110" s="69"/>
      <c r="AF110" s="69"/>
    </row>
    <row r="111" spans="1:32" s="67" customFormat="1" ht="15" customHeight="1" x14ac:dyDescent="0.3">
      <c r="A111" s="73"/>
      <c r="D111" s="69"/>
      <c r="E111" s="69"/>
      <c r="F111" s="86">
        <f>B34</f>
        <v>23</v>
      </c>
      <c r="G111" s="91" t="str">
        <f>AB34</f>
        <v>Based on Guaranteed Output less Total Annual Production</v>
      </c>
      <c r="H111" s="91"/>
      <c r="I111" s="91"/>
      <c r="J111" s="91"/>
      <c r="K111" s="91"/>
      <c r="L111" s="91"/>
      <c r="M111" s="91"/>
      <c r="N111" s="91"/>
      <c r="O111" s="86">
        <f>B76</f>
        <v>54</v>
      </c>
      <c r="P111" s="91" t="str">
        <f>AB76</f>
        <v>-</v>
      </c>
      <c r="Q111" s="91" t="str">
        <f t="shared" ref="Q111:V111" si="89">D76</f>
        <v>$</v>
      </c>
      <c r="R111" s="91">
        <f t="shared" si="89"/>
        <v>0</v>
      </c>
      <c r="S111" s="91">
        <f t="shared" si="89"/>
        <v>7775712</v>
      </c>
      <c r="T111" s="91">
        <f t="shared" si="89"/>
        <v>8098670</v>
      </c>
      <c r="U111" s="91">
        <f t="shared" si="89"/>
        <v>7920000</v>
      </c>
      <c r="V111" s="91">
        <f t="shared" si="89"/>
        <v>7044600</v>
      </c>
      <c r="W111"/>
      <c r="X111"/>
      <c r="Y111"/>
      <c r="Z111"/>
      <c r="AA111"/>
      <c r="AB111" s="69"/>
      <c r="AC111" s="69"/>
      <c r="AD111" s="69"/>
      <c r="AE111" s="69"/>
      <c r="AF111" s="69"/>
    </row>
    <row r="112" spans="1:32" s="67" customFormat="1" ht="15" customHeight="1" x14ac:dyDescent="0.3">
      <c r="A112" s="73"/>
      <c r="D112" s="69"/>
      <c r="E112" s="69"/>
      <c r="F112" s="86">
        <f>B35</f>
        <v>24</v>
      </c>
      <c r="G112" s="91" t="str">
        <f>AB35</f>
        <v>Adjusted based on Production Factor and Excused Hours Production</v>
      </c>
      <c r="H112" s="91"/>
      <c r="I112" s="91"/>
      <c r="J112" s="91"/>
      <c r="K112" s="91"/>
      <c r="L112" s="91"/>
      <c r="M112" s="91"/>
      <c r="N112" s="91"/>
      <c r="O112" s="86">
        <f>B77</f>
        <v>55</v>
      </c>
      <c r="P112" s="91" t="str">
        <f>AB77</f>
        <v>Difference between what should have been paid for the year versus actual monthly payments</v>
      </c>
      <c r="Q112" s="91" t="str">
        <f>D77</f>
        <v>$</v>
      </c>
      <c r="R112" s="91">
        <f>E77</f>
        <v>0</v>
      </c>
      <c r="S112" s="91"/>
      <c r="T112" s="91"/>
      <c r="U112" s="91"/>
      <c r="V112" s="91"/>
      <c r="W112"/>
      <c r="X112"/>
      <c r="Y112"/>
      <c r="Z112"/>
      <c r="AA112"/>
      <c r="AB112" s="69"/>
      <c r="AC112" s="69"/>
      <c r="AD112" s="69"/>
      <c r="AE112" s="69"/>
      <c r="AF112" s="69"/>
    </row>
    <row r="113" spans="1:32" s="67" customFormat="1" ht="37.200000000000003" customHeight="1" x14ac:dyDescent="0.3">
      <c r="A113" s="73"/>
      <c r="D113" s="69"/>
      <c r="E113" s="69"/>
      <c r="F113" s="86">
        <f>B36</f>
        <v>25</v>
      </c>
      <c r="G113" s="91" t="str">
        <f>AB36</f>
        <v>Adjusted Deficiency Amount x Incremental Price</v>
      </c>
      <c r="H113" s="91"/>
      <c r="I113" s="91"/>
      <c r="J113" s="91"/>
      <c r="K113" s="91"/>
      <c r="L113" s="91"/>
      <c r="M113" s="91"/>
      <c r="N113" s="91"/>
      <c r="O113" s="86">
        <f t="shared" ref="O113:O119" si="90">B80</f>
        <v>56</v>
      </c>
      <c r="P113" s="91" t="str">
        <f t="shared" ref="P113:P119" si="91">AB80</f>
        <v>All production for the year paid at this year's contract price.</v>
      </c>
      <c r="Q113" s="91" t="str">
        <f t="shared" ref="Q113:R119" si="92">D80</f>
        <v>MWh</v>
      </c>
      <c r="R113" s="91">
        <f t="shared" si="92"/>
        <v>0</v>
      </c>
      <c r="S113" s="91"/>
      <c r="T113" s="91"/>
      <c r="U113" s="91"/>
      <c r="V113" s="91"/>
      <c r="W113"/>
      <c r="X113"/>
      <c r="Y113"/>
      <c r="Z113"/>
      <c r="AA113"/>
      <c r="AB113" s="69"/>
      <c r="AC113" s="69"/>
      <c r="AD113" s="69"/>
      <c r="AE113" s="69"/>
      <c r="AF113" s="69"/>
    </row>
    <row r="114" spans="1:32" s="67" customFormat="1" ht="48" customHeight="1" x14ac:dyDescent="0.3">
      <c r="D114" s="69"/>
      <c r="E114" s="69"/>
      <c r="F114" s="86">
        <f>B37</f>
        <v>26</v>
      </c>
      <c r="G114" s="91" t="str">
        <f>AB37</f>
        <v>(Deficiency of Current Year Minus 5 Less Excused Hours Production) x Incremental Price for Current Year Minus 5</v>
      </c>
      <c r="H114" s="91"/>
      <c r="I114" s="91"/>
      <c r="J114" s="91"/>
      <c r="K114" s="91"/>
      <c r="L114" s="91"/>
      <c r="M114" s="91"/>
      <c r="N114" s="91"/>
      <c r="O114" s="86">
        <f t="shared" si="90"/>
        <v>57</v>
      </c>
      <c r="P114" s="91" t="str">
        <f t="shared" si="91"/>
        <v>All production for the year that was covered by shortfall damages for not meeting Guaranteed Output.</v>
      </c>
      <c r="Q114" s="91" t="str">
        <f t="shared" si="92"/>
        <v>MWh</v>
      </c>
      <c r="R114" s="91">
        <f t="shared" si="92"/>
        <v>0</v>
      </c>
      <c r="S114" s="91"/>
      <c r="T114" s="91"/>
      <c r="U114" s="91"/>
      <c r="V114" s="91"/>
      <c r="W114"/>
      <c r="X114"/>
      <c r="Y114"/>
      <c r="Z114"/>
      <c r="AA114"/>
      <c r="AB114" s="69"/>
      <c r="AC114" s="69"/>
      <c r="AD114" s="69"/>
      <c r="AE114" s="69"/>
      <c r="AF114" s="69"/>
    </row>
    <row r="115" spans="1:32" s="67" customFormat="1" ht="15" customHeight="1" x14ac:dyDescent="0.3">
      <c r="D115" s="69"/>
      <c r="E115" s="69"/>
      <c r="F115" s="86">
        <f>B38</f>
        <v>27</v>
      </c>
      <c r="G115" s="91" t="str">
        <f>AB38</f>
        <v>Total of Shortfalls for Production &lt;90% and 5 Year Deficits Not Recovered, Adjusted for Excused Production</v>
      </c>
      <c r="H115" s="91"/>
      <c r="I115" s="91"/>
      <c r="J115" s="91"/>
      <c r="K115" s="91"/>
      <c r="L115" s="91"/>
      <c r="M115" s="91"/>
      <c r="N115" s="91"/>
      <c r="O115" s="86">
        <f t="shared" si="90"/>
        <v>58</v>
      </c>
      <c r="P115" s="91" t="str">
        <f t="shared" si="91"/>
        <v>All production for the year that was covered by shortfall damages for not meeting the Minimum Production in 5 years time.  This excludes Excused Hours Production.</v>
      </c>
      <c r="Q115" s="91" t="str">
        <f t="shared" si="92"/>
        <v>MWh</v>
      </c>
      <c r="R115" s="91">
        <f t="shared" si="92"/>
        <v>0</v>
      </c>
      <c r="S115" s="91"/>
      <c r="T115" s="91"/>
      <c r="U115" s="91"/>
      <c r="V115" s="91"/>
      <c r="W115"/>
      <c r="X115"/>
      <c r="Y115"/>
      <c r="Z115"/>
      <c r="AA115"/>
      <c r="AB115" s="69"/>
      <c r="AC115" s="69"/>
      <c r="AD115" s="69"/>
      <c r="AE115" s="69"/>
      <c r="AF115" s="69"/>
    </row>
    <row r="116" spans="1:32" s="67" customFormat="1" ht="93.6" customHeight="1" x14ac:dyDescent="0.3">
      <c r="D116" s="69"/>
      <c r="E116" s="69"/>
      <c r="F116" s="86">
        <f>B41</f>
        <v>28</v>
      </c>
      <c r="G116" s="91" t="str">
        <f>AB41</f>
        <v>Hypothetical estimated production using actual weather data for those hours dispatched down</v>
      </c>
      <c r="H116" s="91"/>
      <c r="I116" s="91"/>
      <c r="J116" s="91"/>
      <c r="K116" s="91"/>
      <c r="L116" s="91"/>
      <c r="M116" s="91"/>
      <c r="N116" s="91"/>
      <c r="O116" s="86">
        <f t="shared" si="90"/>
        <v>59</v>
      </c>
      <c r="P116" s="91" t="str">
        <f t="shared" si="91"/>
        <v>This accounts for Rolling Deficiency Production that was not recovered within 5 years that is considered Excused Hours Production, Including Dispatch Down Makeup Production.  Seller can recover payment for Dispatch Down Makeup Production, as it is part of the Minimum Production, in any future year(s) where there is positive Production Above Minimum + Deficit Allotments at the then current year's contract price. If Seller has already fully recovered this line item as Dispatch Down Makeup Production within the first five years, any remaining amount shown in this line item may be recovered in future years at the Surplus Rate.</v>
      </c>
      <c r="Q116" s="91" t="str">
        <f t="shared" si="92"/>
        <v>MWh</v>
      </c>
      <c r="R116" s="91">
        <f t="shared" si="92"/>
        <v>0</v>
      </c>
      <c r="S116" s="91"/>
      <c r="T116" s="91"/>
      <c r="U116" s="91"/>
      <c r="V116" s="91"/>
      <c r="W116"/>
      <c r="X116"/>
      <c r="Y116"/>
      <c r="Z116"/>
      <c r="AA116"/>
      <c r="AB116" s="69"/>
      <c r="AC116" s="69"/>
      <c r="AD116" s="69"/>
      <c r="AE116" s="69"/>
      <c r="AF116" s="69"/>
    </row>
    <row r="117" spans="1:32" s="67" customFormat="1" ht="15" customHeight="1" x14ac:dyDescent="0.3">
      <c r="D117" s="69"/>
      <c r="E117" s="69"/>
      <c r="F117" s="86">
        <f>B42</f>
        <v>29</v>
      </c>
      <c r="G117" s="91" t="str">
        <f>AB42</f>
        <v>Production allowed to be curtailed each year by GPA without being subject to Lost Revenue Recovery = 2% of Minimum Production</v>
      </c>
      <c r="H117" s="91"/>
      <c r="I117" s="91"/>
      <c r="J117" s="91"/>
      <c r="K117" s="91"/>
      <c r="L117" s="91"/>
      <c r="M117" s="91"/>
      <c r="N117" s="91"/>
      <c r="O117" s="86">
        <f t="shared" si="90"/>
        <v>60</v>
      </c>
      <c r="P117" s="91" t="str">
        <f t="shared" si="91"/>
        <v>Total of all components of Minimum Production assigned for current year</v>
      </c>
      <c r="Q117" s="91" t="str">
        <f t="shared" si="92"/>
        <v>MWh</v>
      </c>
      <c r="R117" s="91">
        <f t="shared" si="92"/>
        <v>0</v>
      </c>
      <c r="S117" s="91"/>
      <c r="T117" s="91"/>
      <c r="U117" s="91"/>
      <c r="V117" s="91"/>
      <c r="W117"/>
      <c r="X117"/>
      <c r="Y117"/>
      <c r="Z117"/>
      <c r="AA117"/>
      <c r="AB117" s="68"/>
    </row>
    <row r="118" spans="1:32" s="67" customFormat="1" ht="15" customHeight="1" x14ac:dyDescent="0.3">
      <c r="D118" s="69"/>
      <c r="E118" s="69"/>
      <c r="F118" s="86">
        <f>B43</f>
        <v>30</v>
      </c>
      <c r="G118" s="91" t="str">
        <f>AB43</f>
        <v>Production that is eligible to be reimbursed that year = all production curtailed above 2% of Minimum Production</v>
      </c>
      <c r="H118" s="91"/>
      <c r="I118" s="91"/>
      <c r="J118" s="91"/>
      <c r="K118" s="91"/>
      <c r="L118" s="91"/>
      <c r="M118" s="91"/>
      <c r="N118" s="91"/>
      <c r="O118" s="86">
        <f t="shared" si="90"/>
        <v>61</v>
      </c>
      <c r="P118" s="91" t="str">
        <f t="shared" si="91"/>
        <v>Bid annual amount to be delivered; See Appendix A</v>
      </c>
      <c r="Q118" s="91" t="str">
        <f t="shared" si="92"/>
        <v>MWh</v>
      </c>
      <c r="R118" s="91">
        <f t="shared" si="92"/>
        <v>0</v>
      </c>
      <c r="S118" s="91"/>
      <c r="T118" s="91"/>
      <c r="U118" s="91"/>
      <c r="V118" s="91"/>
      <c r="W118"/>
      <c r="X118"/>
      <c r="Y118"/>
      <c r="Z118"/>
      <c r="AA118"/>
      <c r="AB118" s="68"/>
    </row>
    <row r="119" spans="1:32" s="67" customFormat="1" ht="15" customHeight="1" x14ac:dyDescent="0.3">
      <c r="D119" s="69"/>
      <c r="E119" s="69"/>
      <c r="F119" s="86">
        <f>B44</f>
        <v>31</v>
      </c>
      <c r="G119" s="91" t="str">
        <f>AB44</f>
        <v>Amount that can be carried forward as deficit and will be excused if not made up in 5 years.</v>
      </c>
      <c r="H119" s="91"/>
      <c r="I119" s="91"/>
      <c r="J119" s="91"/>
      <c r="K119" s="91"/>
      <c r="L119" s="91"/>
      <c r="M119" s="91"/>
      <c r="N119" s="91"/>
      <c r="O119" s="86">
        <f t="shared" si="90"/>
        <v>62</v>
      </c>
      <c r="P119" s="91" t="str">
        <f t="shared" si="91"/>
        <v>Difference between Total of all components of Minimum Production and the bid annual amount.  This should equal zero.</v>
      </c>
      <c r="Q119" s="91" t="str">
        <f t="shared" si="92"/>
        <v>MWh</v>
      </c>
      <c r="R119" s="91">
        <f t="shared" si="92"/>
        <v>0</v>
      </c>
      <c r="S119" s="91"/>
      <c r="T119" s="91"/>
      <c r="U119" s="91"/>
      <c r="V119" s="91"/>
      <c r="W119"/>
      <c r="X119"/>
      <c r="Y119"/>
      <c r="Z119"/>
      <c r="AA119"/>
      <c r="AB119" s="68"/>
    </row>
    <row r="120" spans="1:32" s="67" customFormat="1" ht="15" customHeight="1" x14ac:dyDescent="0.3">
      <c r="W120"/>
      <c r="X120"/>
      <c r="Y120"/>
      <c r="Z120"/>
      <c r="AA120"/>
      <c r="AB120" s="68"/>
    </row>
    <row r="121" spans="1:32" s="67" customFormat="1" ht="15" customHeight="1" x14ac:dyDescent="0.3">
      <c r="W121"/>
      <c r="X121"/>
      <c r="Y121"/>
      <c r="Z121"/>
      <c r="AA121"/>
      <c r="AB121" s="68"/>
    </row>
    <row r="122" spans="1:32" s="67" customFormat="1" ht="15" customHeight="1" x14ac:dyDescent="0.3">
      <c r="W122"/>
      <c r="X122"/>
      <c r="Y122"/>
      <c r="Z122"/>
      <c r="AA122"/>
      <c r="AB122" s="68"/>
    </row>
    <row r="123" spans="1:32" s="67" customFormat="1" ht="15" customHeight="1" x14ac:dyDescent="0.3">
      <c r="W123"/>
      <c r="X123"/>
      <c r="Y123"/>
      <c r="Z123"/>
      <c r="AA123"/>
      <c r="AB123" s="68"/>
    </row>
    <row r="124" spans="1:32" s="67" customFormat="1" ht="15" customHeight="1" x14ac:dyDescent="0.3">
      <c r="W124"/>
      <c r="X124"/>
      <c r="Y124"/>
      <c r="Z124"/>
      <c r="AA124"/>
      <c r="AB124" s="68"/>
    </row>
    <row r="125" spans="1:32" s="67" customFormat="1" ht="15" customHeight="1" x14ac:dyDescent="0.3">
      <c r="W125"/>
      <c r="X125"/>
      <c r="Y125"/>
      <c r="Z125"/>
      <c r="AA125"/>
      <c r="AB125" s="68"/>
    </row>
    <row r="126" spans="1:32" s="67" customFormat="1" ht="15" customHeight="1" x14ac:dyDescent="0.3">
      <c r="W126"/>
      <c r="X126"/>
      <c r="Y126"/>
      <c r="Z126"/>
      <c r="AA126"/>
      <c r="AB126" s="68"/>
    </row>
    <row r="127" spans="1:32" s="67" customFormat="1" ht="15" customHeight="1" x14ac:dyDescent="0.3">
      <c r="W127"/>
      <c r="X127"/>
      <c r="Y127"/>
      <c r="Z127"/>
      <c r="AA127"/>
      <c r="AB127" s="68"/>
    </row>
    <row r="128" spans="1:32" s="67" customFormat="1" ht="15" customHeight="1" x14ac:dyDescent="0.3">
      <c r="W128"/>
      <c r="X128"/>
      <c r="Y128"/>
      <c r="Z128"/>
      <c r="AA128"/>
      <c r="AB128" s="68"/>
    </row>
    <row r="129" spans="15:28" s="67" customFormat="1" ht="15" customHeight="1" x14ac:dyDescent="0.3">
      <c r="W129"/>
      <c r="X129"/>
      <c r="Y129"/>
      <c r="Z129"/>
      <c r="AA129"/>
      <c r="AB129" s="68"/>
    </row>
    <row r="130" spans="15:28" s="67" customFormat="1" ht="15" customHeight="1" x14ac:dyDescent="0.3">
      <c r="W130"/>
      <c r="X130"/>
      <c r="Y130"/>
      <c r="Z130"/>
      <c r="AA130"/>
      <c r="AB130" s="68"/>
    </row>
    <row r="131" spans="15:28" s="67" customFormat="1" ht="15" customHeight="1" x14ac:dyDescent="0.3">
      <c r="W131"/>
      <c r="X131"/>
      <c r="Y131"/>
      <c r="Z131"/>
      <c r="AA131"/>
      <c r="AB131" s="68"/>
    </row>
    <row r="132" spans="15:28" s="67" customFormat="1" ht="15" customHeight="1" x14ac:dyDescent="0.3">
      <c r="W132"/>
      <c r="X132"/>
      <c r="Y132"/>
      <c r="Z132"/>
      <c r="AA132"/>
      <c r="AB132" s="68"/>
    </row>
    <row r="133" spans="15:28" s="67" customFormat="1" ht="15" customHeight="1" x14ac:dyDescent="0.3">
      <c r="W133"/>
      <c r="X133"/>
      <c r="Y133"/>
      <c r="Z133"/>
      <c r="AA133"/>
      <c r="AB133" s="68"/>
    </row>
    <row r="134" spans="15:28" s="67" customFormat="1" ht="15" customHeight="1" x14ac:dyDescent="0.3">
      <c r="AB134" s="68"/>
    </row>
    <row r="135" spans="15:28" ht="15" customHeight="1" x14ac:dyDescent="0.3">
      <c r="O135" s="67"/>
      <c r="P135" s="67"/>
      <c r="Q135" s="67"/>
      <c r="R135" s="67"/>
      <c r="S135" s="67"/>
      <c r="T135" s="67"/>
      <c r="U135" s="67"/>
      <c r="V135" s="67"/>
    </row>
    <row r="136" spans="15:28" ht="15" customHeight="1" x14ac:dyDescent="0.3">
      <c r="O136" s="67"/>
      <c r="P136" s="67"/>
      <c r="Q136" s="67"/>
      <c r="R136" s="67"/>
      <c r="S136" s="67"/>
      <c r="T136" s="67"/>
      <c r="U136" s="67"/>
      <c r="V136" s="67"/>
    </row>
    <row r="137" spans="15:28" ht="15" customHeight="1" x14ac:dyDescent="0.3"/>
    <row r="138" spans="15:28" ht="15" customHeight="1" x14ac:dyDescent="0.3"/>
    <row r="139" spans="15:28" ht="15" customHeight="1" x14ac:dyDescent="0.3"/>
    <row r="140" spans="15:28" ht="15" customHeight="1" x14ac:dyDescent="0.3"/>
    <row r="141" spans="15:28" ht="15" customHeight="1" x14ac:dyDescent="0.3"/>
    <row r="142" spans="15:28" ht="15" customHeight="1" x14ac:dyDescent="0.3"/>
    <row r="143" spans="15:28" ht="15" customHeight="1" x14ac:dyDescent="0.3"/>
    <row r="144" spans="15:28"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sheetData>
  <mergeCells count="63">
    <mergeCell ref="G98:N98"/>
    <mergeCell ref="G99:N99"/>
    <mergeCell ref="G100:N100"/>
    <mergeCell ref="G101:N101"/>
    <mergeCell ref="G102:N102"/>
    <mergeCell ref="P102:V102"/>
    <mergeCell ref="G103:N103"/>
    <mergeCell ref="P110:V110"/>
    <mergeCell ref="P117:V117"/>
    <mergeCell ref="G89:N89"/>
    <mergeCell ref="G90:N90"/>
    <mergeCell ref="G91:N91"/>
    <mergeCell ref="G92:N92"/>
    <mergeCell ref="G93:N93"/>
    <mergeCell ref="G94:N94"/>
    <mergeCell ref="G115:N115"/>
    <mergeCell ref="P103:V103"/>
    <mergeCell ref="P104:V104"/>
    <mergeCell ref="G95:N95"/>
    <mergeCell ref="G96:N96"/>
    <mergeCell ref="G97:N97"/>
    <mergeCell ref="P98:V98"/>
    <mergeCell ref="P99:V99"/>
    <mergeCell ref="P96:V96"/>
    <mergeCell ref="P100:V100"/>
    <mergeCell ref="P101:V101"/>
    <mergeCell ref="G119:N119"/>
    <mergeCell ref="P119:V119"/>
    <mergeCell ref="G110:N110"/>
    <mergeCell ref="G111:N111"/>
    <mergeCell ref="G112:N112"/>
    <mergeCell ref="G113:N113"/>
    <mergeCell ref="G114:N114"/>
    <mergeCell ref="P111:V111"/>
    <mergeCell ref="P112:V112"/>
    <mergeCell ref="P113:V113"/>
    <mergeCell ref="P114:V114"/>
    <mergeCell ref="P115:V115"/>
    <mergeCell ref="P116:V116"/>
    <mergeCell ref="P118:V118"/>
    <mergeCell ref="G117:N117"/>
    <mergeCell ref="G118:N118"/>
    <mergeCell ref="G105:N105"/>
    <mergeCell ref="G106:N106"/>
    <mergeCell ref="G107:N107"/>
    <mergeCell ref="G108:N108"/>
    <mergeCell ref="G109:N109"/>
    <mergeCell ref="P106:V106"/>
    <mergeCell ref="P107:V107"/>
    <mergeCell ref="P105:V105"/>
    <mergeCell ref="F1:N2"/>
    <mergeCell ref="G116:N116"/>
    <mergeCell ref="P108:V108"/>
    <mergeCell ref="P109:V109"/>
    <mergeCell ref="P89:V89"/>
    <mergeCell ref="P90:V90"/>
    <mergeCell ref="P91:V91"/>
    <mergeCell ref="P92:V92"/>
    <mergeCell ref="P93:V93"/>
    <mergeCell ref="G104:N104"/>
    <mergeCell ref="P94:V94"/>
    <mergeCell ref="P95:V95"/>
    <mergeCell ref="P97:V97"/>
  </mergeCells>
  <conditionalFormatting sqref="F41:AA43">
    <cfRule type="cellIs" dxfId="0" priority="1" operator="equal">
      <formula>"ERR"</formula>
    </cfRule>
  </conditionalFormatting>
  <pageMargins left="0.7" right="0.7" top="0.75" bottom="0.75" header="0.3" footer="0.3"/>
  <pageSetup paperSize="17" scale="83" fitToWidth="2" fitToHeight="3" pageOrder="overThenDown" orientation="landscape" r:id="rId1"/>
  <rowBreaks count="3" manualBreakCount="3">
    <brk id="44" max="21" man="1"/>
    <brk id="86" max="21" man="1"/>
    <brk id="119"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zoomScale="70" zoomScaleNormal="70" workbookViewId="0">
      <selection activeCell="F11" sqref="F11"/>
    </sheetView>
  </sheetViews>
  <sheetFormatPr defaultRowHeight="14.4" x14ac:dyDescent="0.3"/>
  <cols>
    <col min="2" max="2" width="5.109375" style="10" bestFit="1" customWidth="1"/>
    <col min="3" max="3" width="38.6640625" customWidth="1"/>
    <col min="4" max="4" width="7.33203125" bestFit="1" customWidth="1"/>
    <col min="5" max="5" width="1.33203125" customWidth="1"/>
    <col min="6" max="6" width="12.6640625" bestFit="1" customWidth="1"/>
    <col min="7" max="17" width="11.109375" bestFit="1" customWidth="1"/>
    <col min="18" max="18" width="11.33203125" style="10" customWidth="1"/>
  </cols>
  <sheetData>
    <row r="1" spans="2:18" x14ac:dyDescent="0.3">
      <c r="C1" s="21" t="s">
        <v>17</v>
      </c>
      <c r="D1" s="22">
        <f>'END OF YR CONSOLIDATION'!$F$5</f>
        <v>1</v>
      </c>
    </row>
    <row r="2" spans="2:18" x14ac:dyDescent="0.3">
      <c r="F2" t="s">
        <v>16</v>
      </c>
    </row>
    <row r="3" spans="2:18" x14ac:dyDescent="0.3">
      <c r="D3" s="9" t="s">
        <v>7</v>
      </c>
      <c r="F3" s="3">
        <v>1</v>
      </c>
      <c r="G3" s="3">
        <v>2</v>
      </c>
      <c r="H3" s="3">
        <v>3</v>
      </c>
      <c r="I3" s="3">
        <v>4</v>
      </c>
      <c r="J3" s="3">
        <v>5</v>
      </c>
      <c r="K3" s="3">
        <v>6</v>
      </c>
      <c r="L3" s="3">
        <v>7</v>
      </c>
      <c r="M3" s="3">
        <v>8</v>
      </c>
      <c r="N3" s="3">
        <v>9</v>
      </c>
      <c r="O3" s="3">
        <v>10</v>
      </c>
      <c r="P3" s="3">
        <v>11</v>
      </c>
      <c r="Q3" s="3">
        <v>12</v>
      </c>
    </row>
    <row r="4" spans="2:18" x14ac:dyDescent="0.3">
      <c r="B4" s="12"/>
      <c r="C4" s="11"/>
      <c r="D4" s="26"/>
      <c r="E4" s="2"/>
    </row>
    <row r="5" spans="2:18" x14ac:dyDescent="0.3">
      <c r="B5" s="5">
        <v>1</v>
      </c>
      <c r="C5" s="11" t="s">
        <v>0</v>
      </c>
      <c r="D5" s="27" t="s">
        <v>8</v>
      </c>
      <c r="E5" s="6"/>
      <c r="F5" s="39">
        <f>HLOOKUP($D$1,'END OF YR CONSOLIDATION'!F5:V7,3,FALSE)</f>
        <v>196</v>
      </c>
      <c r="G5" s="39">
        <f>+F5</f>
        <v>196</v>
      </c>
      <c r="H5" s="39">
        <f t="shared" ref="H5:Q5" si="0">+G5</f>
        <v>196</v>
      </c>
      <c r="I5" s="39">
        <f t="shared" si="0"/>
        <v>196</v>
      </c>
      <c r="J5" s="39">
        <f t="shared" si="0"/>
        <v>196</v>
      </c>
      <c r="K5" s="39">
        <f t="shared" si="0"/>
        <v>196</v>
      </c>
      <c r="L5" s="39">
        <f t="shared" si="0"/>
        <v>196</v>
      </c>
      <c r="M5" s="39">
        <f t="shared" si="0"/>
        <v>196</v>
      </c>
      <c r="N5" s="39">
        <f t="shared" si="0"/>
        <v>196</v>
      </c>
      <c r="O5" s="39">
        <f t="shared" si="0"/>
        <v>196</v>
      </c>
      <c r="P5" s="39">
        <f t="shared" si="0"/>
        <v>196</v>
      </c>
      <c r="Q5" s="39">
        <f t="shared" si="0"/>
        <v>196</v>
      </c>
      <c r="R5" s="40"/>
    </row>
    <row r="6" spans="2:18" x14ac:dyDescent="0.3">
      <c r="B6" s="5"/>
      <c r="C6" s="11"/>
      <c r="D6" s="27"/>
      <c r="E6" s="6"/>
      <c r="F6" s="41"/>
      <c r="G6" s="42"/>
      <c r="H6" s="42"/>
      <c r="I6" s="42"/>
      <c r="J6" s="42"/>
      <c r="K6" s="42"/>
      <c r="L6" s="42"/>
      <c r="M6" s="42"/>
      <c r="N6" s="42"/>
      <c r="O6" s="42"/>
      <c r="P6" s="42"/>
      <c r="Q6" s="42"/>
      <c r="R6" s="40"/>
    </row>
    <row r="7" spans="2:18" x14ac:dyDescent="0.3">
      <c r="B7" s="5">
        <v>4</v>
      </c>
      <c r="C7" s="11" t="s">
        <v>1</v>
      </c>
      <c r="D7" s="27" t="s">
        <v>9</v>
      </c>
      <c r="F7" s="46"/>
      <c r="G7" s="46"/>
      <c r="H7" s="46"/>
      <c r="I7" s="46"/>
      <c r="J7" s="46"/>
      <c r="K7" s="46"/>
      <c r="L7" s="46"/>
      <c r="M7" s="46"/>
      <c r="N7" s="46"/>
      <c r="O7" s="46"/>
      <c r="P7" s="46"/>
      <c r="Q7" s="46"/>
      <c r="R7" s="43">
        <f>+'END OF YR CONSOLIDATION'!F11</f>
        <v>40502</v>
      </c>
    </row>
    <row r="8" spans="2:18" x14ac:dyDescent="0.3">
      <c r="B8" s="5">
        <v>5</v>
      </c>
      <c r="C8" s="11" t="s">
        <v>2</v>
      </c>
      <c r="D8" s="27" t="s">
        <v>9</v>
      </c>
      <c r="F8" s="46"/>
      <c r="G8" s="46"/>
      <c r="H8" s="46"/>
      <c r="I8" s="46"/>
      <c r="J8" s="46"/>
      <c r="K8" s="46"/>
      <c r="L8" s="46"/>
      <c r="M8" s="46"/>
      <c r="N8" s="46"/>
      <c r="O8" s="46"/>
      <c r="P8" s="46"/>
      <c r="Q8" s="46"/>
      <c r="R8" s="43">
        <f>+'END OF YR CONSOLIDATION'!F12</f>
        <v>36452</v>
      </c>
    </row>
    <row r="9" spans="2:18" x14ac:dyDescent="0.3">
      <c r="B9" s="5"/>
      <c r="C9" s="11"/>
      <c r="D9" s="27"/>
      <c r="E9" s="6"/>
      <c r="F9" s="44"/>
      <c r="G9" s="42"/>
      <c r="H9" s="42"/>
      <c r="I9" s="42"/>
      <c r="J9" s="42"/>
      <c r="K9" s="42"/>
      <c r="L9" s="42"/>
      <c r="M9" s="42"/>
      <c r="N9" s="42"/>
      <c r="O9" s="42"/>
      <c r="P9" s="42"/>
      <c r="Q9" s="42"/>
      <c r="R9" s="40"/>
    </row>
    <row r="10" spans="2:18" x14ac:dyDescent="0.3">
      <c r="B10" s="5">
        <v>7</v>
      </c>
      <c r="C10" s="11" t="s">
        <v>19</v>
      </c>
      <c r="D10" s="27" t="s">
        <v>9</v>
      </c>
      <c r="E10" s="6"/>
      <c r="F10" s="45">
        <v>2980</v>
      </c>
      <c r="G10" s="45">
        <v>3000</v>
      </c>
      <c r="H10" s="45">
        <v>3000</v>
      </c>
      <c r="I10" s="45">
        <v>4000</v>
      </c>
      <c r="J10" s="45">
        <v>4000</v>
      </c>
      <c r="K10" s="45">
        <v>4000</v>
      </c>
      <c r="L10" s="45">
        <v>3000</v>
      </c>
      <c r="M10" s="45">
        <v>3000</v>
      </c>
      <c r="N10" s="45">
        <v>3000</v>
      </c>
      <c r="O10" s="45">
        <v>3000</v>
      </c>
      <c r="P10" s="45">
        <v>3000</v>
      </c>
      <c r="Q10" s="45">
        <v>3692</v>
      </c>
      <c r="R10" s="40">
        <f>SUM(F10:Q10)</f>
        <v>39672</v>
      </c>
    </row>
    <row r="11" spans="2:18" x14ac:dyDescent="0.3">
      <c r="B11" s="5">
        <v>8</v>
      </c>
      <c r="C11" s="11" t="s">
        <v>31</v>
      </c>
      <c r="D11" s="27" t="s">
        <v>11</v>
      </c>
      <c r="E11" s="6"/>
      <c r="F11" s="44">
        <f>+R7-F10</f>
        <v>37522</v>
      </c>
      <c r="G11" s="42">
        <f>IF(F11&gt;G10,F11-G10,0)</f>
        <v>34522</v>
      </c>
      <c r="H11" s="42">
        <f t="shared" ref="H11:Q11" si="1">IF(G11&gt;H10,G11-H10,0)</f>
        <v>31522</v>
      </c>
      <c r="I11" s="42">
        <f t="shared" si="1"/>
        <v>27522</v>
      </c>
      <c r="J11" s="42">
        <f t="shared" si="1"/>
        <v>23522</v>
      </c>
      <c r="K11" s="42">
        <f t="shared" si="1"/>
        <v>19522</v>
      </c>
      <c r="L11" s="42">
        <f t="shared" si="1"/>
        <v>16522</v>
      </c>
      <c r="M11" s="42">
        <f t="shared" si="1"/>
        <v>13522</v>
      </c>
      <c r="N11" s="42">
        <f t="shared" si="1"/>
        <v>10522</v>
      </c>
      <c r="O11" s="42">
        <f t="shared" si="1"/>
        <v>7522</v>
      </c>
      <c r="P11" s="42">
        <f t="shared" si="1"/>
        <v>4522</v>
      </c>
      <c r="Q11" s="42">
        <f t="shared" si="1"/>
        <v>830</v>
      </c>
      <c r="R11" s="40">
        <f>+Q11</f>
        <v>830</v>
      </c>
    </row>
    <row r="12" spans="2:18" x14ac:dyDescent="0.3">
      <c r="B12" s="14">
        <v>9</v>
      </c>
      <c r="C12" s="11" t="s">
        <v>18</v>
      </c>
      <c r="D12" s="27" t="s">
        <v>11</v>
      </c>
      <c r="E12" s="6"/>
      <c r="F12" s="44">
        <f t="shared" ref="F12:P12" si="2">IF(F11&gt;0,0,F10-E11)</f>
        <v>0</v>
      </c>
      <c r="G12" s="44">
        <f t="shared" si="2"/>
        <v>0</v>
      </c>
      <c r="H12" s="44">
        <f t="shared" si="2"/>
        <v>0</v>
      </c>
      <c r="I12" s="44">
        <f t="shared" si="2"/>
        <v>0</v>
      </c>
      <c r="J12" s="44">
        <f t="shared" si="2"/>
        <v>0</v>
      </c>
      <c r="K12" s="44">
        <f t="shared" si="2"/>
        <v>0</v>
      </c>
      <c r="L12" s="44">
        <f t="shared" si="2"/>
        <v>0</v>
      </c>
      <c r="M12" s="44">
        <f t="shared" si="2"/>
        <v>0</v>
      </c>
      <c r="N12" s="44">
        <f t="shared" si="2"/>
        <v>0</v>
      </c>
      <c r="O12" s="44">
        <f t="shared" si="2"/>
        <v>0</v>
      </c>
      <c r="P12" s="44">
        <f t="shared" si="2"/>
        <v>0</v>
      </c>
      <c r="Q12" s="44">
        <f>IF(Q11&gt;0,0,Q10-P11)</f>
        <v>0</v>
      </c>
      <c r="R12" s="40">
        <f>SUM(F12:Q12)</f>
        <v>0</v>
      </c>
    </row>
    <row r="13" spans="2:18" x14ac:dyDescent="0.3">
      <c r="B13" s="5"/>
      <c r="C13" s="11"/>
      <c r="D13" s="27"/>
      <c r="E13" s="6"/>
      <c r="F13" s="44"/>
      <c r="G13" s="42"/>
      <c r="H13" s="42"/>
      <c r="I13" s="42"/>
      <c r="J13" s="42"/>
      <c r="K13" s="42"/>
      <c r="L13" s="42"/>
      <c r="M13" s="42"/>
      <c r="N13" s="42"/>
      <c r="O13" s="42"/>
      <c r="P13" s="42"/>
      <c r="Q13" s="42"/>
      <c r="R13" s="40"/>
    </row>
    <row r="14" spans="2:18" x14ac:dyDescent="0.3">
      <c r="B14" s="5">
        <v>10</v>
      </c>
      <c r="C14" s="25" t="s">
        <v>20</v>
      </c>
      <c r="D14" s="28" t="s">
        <v>10</v>
      </c>
      <c r="E14" s="16"/>
      <c r="F14" s="44">
        <f t="shared" ref="F14:Q14" si="3">+F10*F5</f>
        <v>584080</v>
      </c>
      <c r="G14" s="44">
        <f t="shared" si="3"/>
        <v>588000</v>
      </c>
      <c r="H14" s="44">
        <f t="shared" si="3"/>
        <v>588000</v>
      </c>
      <c r="I14" s="44">
        <f t="shared" si="3"/>
        <v>784000</v>
      </c>
      <c r="J14" s="44">
        <f t="shared" si="3"/>
        <v>784000</v>
      </c>
      <c r="K14" s="44">
        <f t="shared" si="3"/>
        <v>784000</v>
      </c>
      <c r="L14" s="44">
        <f t="shared" si="3"/>
        <v>588000</v>
      </c>
      <c r="M14" s="44">
        <f t="shared" si="3"/>
        <v>588000</v>
      </c>
      <c r="N14" s="44">
        <f t="shared" si="3"/>
        <v>588000</v>
      </c>
      <c r="O14" s="44">
        <f t="shared" si="3"/>
        <v>588000</v>
      </c>
      <c r="P14" s="44">
        <f t="shared" si="3"/>
        <v>588000</v>
      </c>
      <c r="Q14" s="44">
        <f t="shared" si="3"/>
        <v>723632</v>
      </c>
      <c r="R14" s="40">
        <f>SUM(F14:Q14)</f>
        <v>7775712</v>
      </c>
    </row>
    <row r="15" spans="2:18" x14ac:dyDescent="0.3">
      <c r="B15"/>
      <c r="C15" s="11"/>
    </row>
    <row r="16" spans="2:18" x14ac:dyDescent="0.3">
      <c r="B16"/>
      <c r="C16" s="11"/>
    </row>
    <row r="17" spans="2:18" x14ac:dyDescent="0.3">
      <c r="B17"/>
      <c r="C17" t="s">
        <v>32</v>
      </c>
      <c r="R17"/>
    </row>
    <row r="18" spans="2:18" x14ac:dyDescent="0.3">
      <c r="C18"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topLeftCell="B1" zoomScale="70" zoomScaleNormal="70" workbookViewId="0">
      <selection activeCell="Q10" sqref="Q10"/>
    </sheetView>
  </sheetViews>
  <sheetFormatPr defaultRowHeight="14.4" x14ac:dyDescent="0.3"/>
  <cols>
    <col min="2" max="2" width="5.109375" style="10" bestFit="1" customWidth="1"/>
    <col min="3" max="3" width="38.6640625" customWidth="1"/>
    <col min="4" max="4" width="7.33203125" bestFit="1" customWidth="1"/>
    <col min="5" max="5" width="1.33203125" customWidth="1"/>
    <col min="6" max="6" width="12.6640625" bestFit="1" customWidth="1"/>
    <col min="7" max="17" width="11.109375" bestFit="1" customWidth="1"/>
    <col min="18" max="18" width="11.33203125" style="10" customWidth="1"/>
  </cols>
  <sheetData>
    <row r="1" spans="2:18" x14ac:dyDescent="0.3">
      <c r="C1" s="21" t="s">
        <v>17</v>
      </c>
      <c r="D1" s="22">
        <f>'END OF YR CONSOLIDATION'!$G$5</f>
        <v>2</v>
      </c>
    </row>
    <row r="2" spans="2:18" x14ac:dyDescent="0.3">
      <c r="F2" t="s">
        <v>16</v>
      </c>
    </row>
    <row r="3" spans="2:18" x14ac:dyDescent="0.3">
      <c r="D3" s="9" t="s">
        <v>7</v>
      </c>
      <c r="F3" s="3">
        <v>1</v>
      </c>
      <c r="G3" s="3">
        <v>2</v>
      </c>
      <c r="H3" s="3">
        <v>3</v>
      </c>
      <c r="I3" s="3">
        <v>4</v>
      </c>
      <c r="J3" s="3">
        <v>5</v>
      </c>
      <c r="K3" s="3">
        <v>6</v>
      </c>
      <c r="L3" s="3">
        <v>7</v>
      </c>
      <c r="M3" s="3">
        <v>8</v>
      </c>
      <c r="N3" s="3">
        <v>9</v>
      </c>
      <c r="O3" s="3">
        <v>10</v>
      </c>
      <c r="P3" s="3">
        <v>11</v>
      </c>
      <c r="Q3" s="3">
        <v>12</v>
      </c>
    </row>
    <row r="4" spans="2:18" x14ac:dyDescent="0.3">
      <c r="B4" s="12"/>
      <c r="C4" s="11"/>
      <c r="D4" s="26"/>
      <c r="E4" s="2"/>
    </row>
    <row r="5" spans="2:18" x14ac:dyDescent="0.3">
      <c r="B5" s="5">
        <v>1</v>
      </c>
      <c r="C5" s="11" t="s">
        <v>0</v>
      </c>
      <c r="D5" s="27" t="s">
        <v>8</v>
      </c>
      <c r="E5" s="6"/>
      <c r="F5" s="39">
        <f>HLOOKUP($D$1,'END OF YR CONSOLIDATION'!F5:V7,3,FALSE)</f>
        <v>197</v>
      </c>
      <c r="G5" s="39">
        <f>+F5</f>
        <v>197</v>
      </c>
      <c r="H5" s="39">
        <f t="shared" ref="H5:Q5" si="0">+G5</f>
        <v>197</v>
      </c>
      <c r="I5" s="39">
        <f t="shared" si="0"/>
        <v>197</v>
      </c>
      <c r="J5" s="39">
        <f t="shared" si="0"/>
        <v>197</v>
      </c>
      <c r="K5" s="39">
        <f t="shared" si="0"/>
        <v>197</v>
      </c>
      <c r="L5" s="39">
        <f t="shared" si="0"/>
        <v>197</v>
      </c>
      <c r="M5" s="39">
        <f t="shared" si="0"/>
        <v>197</v>
      </c>
      <c r="N5" s="39">
        <f t="shared" si="0"/>
        <v>197</v>
      </c>
      <c r="O5" s="39">
        <f t="shared" si="0"/>
        <v>197</v>
      </c>
      <c r="P5" s="39">
        <f t="shared" si="0"/>
        <v>197</v>
      </c>
      <c r="Q5" s="39">
        <f t="shared" si="0"/>
        <v>197</v>
      </c>
      <c r="R5" s="40"/>
    </row>
    <row r="6" spans="2:18" x14ac:dyDescent="0.3">
      <c r="B6" s="5"/>
      <c r="C6" s="11"/>
      <c r="D6" s="27"/>
      <c r="E6" s="6"/>
      <c r="F6" s="41"/>
      <c r="G6" s="42"/>
      <c r="H6" s="42"/>
      <c r="I6" s="42"/>
      <c r="J6" s="42"/>
      <c r="K6" s="42"/>
      <c r="L6" s="42"/>
      <c r="M6" s="42"/>
      <c r="N6" s="42"/>
      <c r="O6" s="42"/>
      <c r="P6" s="42"/>
      <c r="Q6" s="42"/>
      <c r="R6" s="40"/>
    </row>
    <row r="7" spans="2:18" x14ac:dyDescent="0.3">
      <c r="B7" s="5">
        <v>4</v>
      </c>
      <c r="C7" s="11" t="s">
        <v>1</v>
      </c>
      <c r="D7" s="27" t="s">
        <v>9</v>
      </c>
      <c r="F7" s="46"/>
      <c r="G7" s="46"/>
      <c r="H7" s="46"/>
      <c r="I7" s="46"/>
      <c r="J7" s="46"/>
      <c r="K7" s="46"/>
      <c r="L7" s="46"/>
      <c r="M7" s="46"/>
      <c r="N7" s="46"/>
      <c r="O7" s="46"/>
      <c r="P7" s="46"/>
      <c r="Q7" s="46"/>
      <c r="R7" s="43">
        <f>+'END OF YR CONSOLIDATION'!G11</f>
        <v>40301</v>
      </c>
    </row>
    <row r="8" spans="2:18" x14ac:dyDescent="0.3">
      <c r="B8" s="5">
        <v>5</v>
      </c>
      <c r="C8" s="11" t="s">
        <v>2</v>
      </c>
      <c r="D8" s="27" t="s">
        <v>9</v>
      </c>
      <c r="F8" s="46"/>
      <c r="G8" s="46"/>
      <c r="H8" s="46"/>
      <c r="I8" s="46"/>
      <c r="J8" s="46"/>
      <c r="K8" s="46"/>
      <c r="L8" s="46"/>
      <c r="M8" s="46"/>
      <c r="N8" s="46"/>
      <c r="O8" s="46"/>
      <c r="P8" s="46"/>
      <c r="Q8" s="46"/>
      <c r="R8" s="43">
        <f>+'END OF YR CONSOLIDATION'!G12</f>
        <v>36271</v>
      </c>
    </row>
    <row r="9" spans="2:18" x14ac:dyDescent="0.3">
      <c r="B9" s="5"/>
      <c r="C9" s="11"/>
      <c r="D9" s="27"/>
      <c r="E9" s="6"/>
      <c r="F9" s="44"/>
      <c r="G9" s="42"/>
      <c r="H9" s="42"/>
      <c r="I9" s="42"/>
      <c r="J9" s="42"/>
      <c r="K9" s="42"/>
      <c r="L9" s="42"/>
      <c r="M9" s="42"/>
      <c r="N9" s="42"/>
      <c r="O9" s="42"/>
      <c r="P9" s="42"/>
      <c r="Q9" s="42"/>
      <c r="R9" s="40"/>
    </row>
    <row r="10" spans="2:18" x14ac:dyDescent="0.3">
      <c r="B10" s="5">
        <v>7</v>
      </c>
      <c r="C10" s="11" t="s">
        <v>19</v>
      </c>
      <c r="D10" s="27" t="s">
        <v>9</v>
      </c>
      <c r="E10" s="6"/>
      <c r="F10" s="45">
        <v>3000</v>
      </c>
      <c r="G10" s="45">
        <v>3000</v>
      </c>
      <c r="H10" s="45">
        <v>3000</v>
      </c>
      <c r="I10" s="45">
        <v>3000</v>
      </c>
      <c r="J10" s="45">
        <v>3000</v>
      </c>
      <c r="K10" s="45">
        <v>5000</v>
      </c>
      <c r="L10" s="45">
        <v>4800</v>
      </c>
      <c r="M10" s="45">
        <v>4300</v>
      </c>
      <c r="N10" s="45">
        <v>3000</v>
      </c>
      <c r="O10" s="45">
        <v>3000</v>
      </c>
      <c r="P10" s="45">
        <v>3000</v>
      </c>
      <c r="Q10" s="45">
        <v>3010</v>
      </c>
      <c r="R10" s="40">
        <f>SUM(F10:Q10)</f>
        <v>41110</v>
      </c>
    </row>
    <row r="11" spans="2:18" x14ac:dyDescent="0.3">
      <c r="B11" s="5">
        <v>8</v>
      </c>
      <c r="C11" s="11" t="s">
        <v>31</v>
      </c>
      <c r="D11" s="27" t="s">
        <v>11</v>
      </c>
      <c r="E11" s="6"/>
      <c r="F11" s="44">
        <f>+R7-F10</f>
        <v>37301</v>
      </c>
      <c r="G11" s="42">
        <f>IF(F11&gt;G10,F11-G10,0)</f>
        <v>34301</v>
      </c>
      <c r="H11" s="42">
        <f t="shared" ref="H11:O11" si="1">IF(G11&gt;H10,G11-H10,0)</f>
        <v>31301</v>
      </c>
      <c r="I11" s="42">
        <f t="shared" si="1"/>
        <v>28301</v>
      </c>
      <c r="J11" s="42">
        <f t="shared" si="1"/>
        <v>25301</v>
      </c>
      <c r="K11" s="42">
        <f t="shared" si="1"/>
        <v>20301</v>
      </c>
      <c r="L11" s="42">
        <f t="shared" si="1"/>
        <v>15501</v>
      </c>
      <c r="M11" s="42">
        <f t="shared" si="1"/>
        <v>11201</v>
      </c>
      <c r="N11" s="42">
        <f t="shared" si="1"/>
        <v>8201</v>
      </c>
      <c r="O11" s="42">
        <f t="shared" si="1"/>
        <v>5201</v>
      </c>
      <c r="P11" s="42">
        <f>IF(O11&gt;P10,O11-P10,0)</f>
        <v>2201</v>
      </c>
      <c r="Q11" s="42">
        <f>IF(P11&gt;Q10,P11-Q10,0)</f>
        <v>0</v>
      </c>
      <c r="R11" s="40">
        <f>+Q11</f>
        <v>0</v>
      </c>
    </row>
    <row r="12" spans="2:18" x14ac:dyDescent="0.3">
      <c r="B12" s="14">
        <v>9</v>
      </c>
      <c r="C12" s="11" t="s">
        <v>18</v>
      </c>
      <c r="D12" s="27" t="s">
        <v>11</v>
      </c>
      <c r="E12" s="44" t="e">
        <f t="shared" ref="E12:P12" si="2">IF(E11&gt;0,0,E10-D11)</f>
        <v>#VALUE!</v>
      </c>
      <c r="F12" s="44">
        <f t="shared" si="2"/>
        <v>0</v>
      </c>
      <c r="G12" s="44">
        <f t="shared" si="2"/>
        <v>0</v>
      </c>
      <c r="H12" s="44">
        <f t="shared" si="2"/>
        <v>0</v>
      </c>
      <c r="I12" s="44">
        <f t="shared" si="2"/>
        <v>0</v>
      </c>
      <c r="J12" s="44">
        <f t="shared" si="2"/>
        <v>0</v>
      </c>
      <c r="K12" s="44">
        <f t="shared" si="2"/>
        <v>0</v>
      </c>
      <c r="L12" s="44">
        <f t="shared" si="2"/>
        <v>0</v>
      </c>
      <c r="M12" s="44">
        <f t="shared" si="2"/>
        <v>0</v>
      </c>
      <c r="N12" s="44">
        <f t="shared" si="2"/>
        <v>0</v>
      </c>
      <c r="O12" s="44">
        <f t="shared" si="2"/>
        <v>0</v>
      </c>
      <c r="P12" s="44">
        <f t="shared" si="2"/>
        <v>0</v>
      </c>
      <c r="Q12" s="44">
        <f>IF(Q11&gt;0,0,Q10-P11)</f>
        <v>809</v>
      </c>
      <c r="R12" s="40">
        <f>SUM(F12:Q12)</f>
        <v>809</v>
      </c>
    </row>
    <row r="13" spans="2:18" x14ac:dyDescent="0.3">
      <c r="B13" s="5"/>
      <c r="C13" s="11"/>
      <c r="D13" s="27"/>
      <c r="E13" s="6"/>
      <c r="F13" s="44"/>
      <c r="G13" s="42"/>
      <c r="H13" s="42"/>
      <c r="I13" s="42"/>
      <c r="J13" s="42"/>
      <c r="K13" s="42"/>
      <c r="L13" s="42"/>
      <c r="M13" s="42"/>
      <c r="N13" s="42"/>
      <c r="O13" s="42"/>
      <c r="P13" s="42"/>
      <c r="Q13" s="42"/>
      <c r="R13" s="40"/>
    </row>
    <row r="14" spans="2:18" x14ac:dyDescent="0.3">
      <c r="B14" s="5">
        <v>10</v>
      </c>
      <c r="C14" s="25" t="s">
        <v>20</v>
      </c>
      <c r="D14" s="28" t="s">
        <v>10</v>
      </c>
      <c r="E14" s="16"/>
      <c r="F14" s="44">
        <f t="shared" ref="F14:Q14" si="3">+F10*F5</f>
        <v>591000</v>
      </c>
      <c r="G14" s="44">
        <f t="shared" si="3"/>
        <v>591000</v>
      </c>
      <c r="H14" s="44">
        <f t="shared" si="3"/>
        <v>591000</v>
      </c>
      <c r="I14" s="44">
        <f t="shared" si="3"/>
        <v>591000</v>
      </c>
      <c r="J14" s="44">
        <f t="shared" si="3"/>
        <v>591000</v>
      </c>
      <c r="K14" s="44">
        <f t="shared" si="3"/>
        <v>985000</v>
      </c>
      <c r="L14" s="44">
        <f t="shared" si="3"/>
        <v>945600</v>
      </c>
      <c r="M14" s="44">
        <f t="shared" si="3"/>
        <v>847100</v>
      </c>
      <c r="N14" s="44">
        <f t="shared" si="3"/>
        <v>591000</v>
      </c>
      <c r="O14" s="44">
        <f t="shared" si="3"/>
        <v>591000</v>
      </c>
      <c r="P14" s="44">
        <f t="shared" si="3"/>
        <v>591000</v>
      </c>
      <c r="Q14" s="44">
        <f t="shared" si="3"/>
        <v>592970</v>
      </c>
      <c r="R14" s="40">
        <f>SUM(F14:Q14)</f>
        <v>8098670</v>
      </c>
    </row>
    <row r="15" spans="2:18" x14ac:dyDescent="0.3">
      <c r="B15"/>
      <c r="C15" s="11"/>
    </row>
    <row r="16" spans="2:18" x14ac:dyDescent="0.3">
      <c r="B16"/>
      <c r="C16" s="11"/>
    </row>
    <row r="17" spans="2:18" x14ac:dyDescent="0.3">
      <c r="B17"/>
      <c r="C17" t="s">
        <v>32</v>
      </c>
      <c r="R17"/>
    </row>
    <row r="18" spans="2:18" x14ac:dyDescent="0.3">
      <c r="C18"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topLeftCell="B1" zoomScale="70" zoomScaleNormal="70" workbookViewId="0">
      <selection activeCell="U10" sqref="U10"/>
    </sheetView>
  </sheetViews>
  <sheetFormatPr defaultRowHeight="14.4" x14ac:dyDescent="0.3"/>
  <cols>
    <col min="2" max="2" width="5.109375" style="10" bestFit="1" customWidth="1"/>
    <col min="3" max="3" width="38.6640625" customWidth="1"/>
    <col min="4" max="4" width="7.33203125" bestFit="1" customWidth="1"/>
    <col min="5" max="5" width="1.33203125" customWidth="1"/>
    <col min="6" max="6" width="12.6640625" bestFit="1" customWidth="1"/>
    <col min="7" max="17" width="11.109375" bestFit="1" customWidth="1"/>
    <col min="18" max="18" width="11.33203125" style="10" customWidth="1"/>
  </cols>
  <sheetData>
    <row r="1" spans="2:21" x14ac:dyDescent="0.3">
      <c r="C1" s="21" t="s">
        <v>17</v>
      </c>
      <c r="D1" s="22">
        <f>'END OF YR CONSOLIDATION'!$H$5</f>
        <v>3</v>
      </c>
    </row>
    <row r="2" spans="2:21" x14ac:dyDescent="0.3">
      <c r="F2" t="s">
        <v>16</v>
      </c>
    </row>
    <row r="3" spans="2:21" x14ac:dyDescent="0.3">
      <c r="D3" s="9" t="s">
        <v>7</v>
      </c>
      <c r="F3" s="3">
        <v>1</v>
      </c>
      <c r="G3" s="3">
        <v>2</v>
      </c>
      <c r="H3" s="3">
        <v>3</v>
      </c>
      <c r="I3" s="3">
        <v>4</v>
      </c>
      <c r="J3" s="3">
        <v>5</v>
      </c>
      <c r="K3" s="3">
        <v>6</v>
      </c>
      <c r="L3" s="3">
        <v>7</v>
      </c>
      <c r="M3" s="3">
        <v>8</v>
      </c>
      <c r="N3" s="3">
        <v>9</v>
      </c>
      <c r="O3" s="3">
        <v>10</v>
      </c>
      <c r="P3" s="3">
        <v>11</v>
      </c>
      <c r="Q3" s="3">
        <v>12</v>
      </c>
    </row>
    <row r="4" spans="2:21" x14ac:dyDescent="0.3">
      <c r="B4" s="12"/>
      <c r="C4" s="11"/>
      <c r="D4" s="26"/>
      <c r="E4" s="2"/>
    </row>
    <row r="5" spans="2:21" x14ac:dyDescent="0.3">
      <c r="B5" s="5">
        <v>1</v>
      </c>
      <c r="C5" s="11" t="s">
        <v>0</v>
      </c>
      <c r="D5" s="27" t="s">
        <v>8</v>
      </c>
      <c r="E5" s="6"/>
      <c r="F5" s="39">
        <f>HLOOKUP($D$1,'END OF YR CONSOLIDATION'!F5:V7,3,FALSE)</f>
        <v>198</v>
      </c>
      <c r="G5" s="39">
        <f>+F5</f>
        <v>198</v>
      </c>
      <c r="H5" s="39">
        <f t="shared" ref="H5:Q5" si="0">+G5</f>
        <v>198</v>
      </c>
      <c r="I5" s="39">
        <f t="shared" si="0"/>
        <v>198</v>
      </c>
      <c r="J5" s="39">
        <f t="shared" si="0"/>
        <v>198</v>
      </c>
      <c r="K5" s="39">
        <f t="shared" si="0"/>
        <v>198</v>
      </c>
      <c r="L5" s="39">
        <f t="shared" si="0"/>
        <v>198</v>
      </c>
      <c r="M5" s="39">
        <f t="shared" si="0"/>
        <v>198</v>
      </c>
      <c r="N5" s="39">
        <f t="shared" si="0"/>
        <v>198</v>
      </c>
      <c r="O5" s="39">
        <f t="shared" si="0"/>
        <v>198</v>
      </c>
      <c r="P5" s="39">
        <f t="shared" si="0"/>
        <v>198</v>
      </c>
      <c r="Q5" s="39">
        <f t="shared" si="0"/>
        <v>198</v>
      </c>
      <c r="R5" s="40"/>
    </row>
    <row r="6" spans="2:21" x14ac:dyDescent="0.3">
      <c r="B6" s="5"/>
      <c r="C6" s="11"/>
      <c r="D6" s="27"/>
      <c r="E6" s="6"/>
      <c r="F6" s="41"/>
      <c r="G6" s="42"/>
      <c r="H6" s="42"/>
      <c r="I6" s="42"/>
      <c r="J6" s="42"/>
      <c r="K6" s="42"/>
      <c r="L6" s="42"/>
      <c r="M6" s="42"/>
      <c r="N6" s="42"/>
      <c r="O6" s="42"/>
      <c r="P6" s="42"/>
      <c r="Q6" s="42"/>
      <c r="R6" s="40"/>
    </row>
    <row r="7" spans="2:21" x14ac:dyDescent="0.3">
      <c r="B7" s="5">
        <v>4</v>
      </c>
      <c r="C7" s="11" t="s">
        <v>1</v>
      </c>
      <c r="D7" s="27" t="s">
        <v>9</v>
      </c>
      <c r="F7" s="46"/>
      <c r="G7" s="46"/>
      <c r="H7" s="46"/>
      <c r="I7" s="46"/>
      <c r="J7" s="46"/>
      <c r="K7" s="46"/>
      <c r="L7" s="46"/>
      <c r="M7" s="46"/>
      <c r="N7" s="46"/>
      <c r="O7" s="46"/>
      <c r="P7" s="46"/>
      <c r="Q7" s="46"/>
      <c r="R7" s="43">
        <f>+'END OF YR CONSOLIDATION'!H11</f>
        <v>40192</v>
      </c>
    </row>
    <row r="8" spans="2:21" x14ac:dyDescent="0.3">
      <c r="B8" s="5">
        <v>5</v>
      </c>
      <c r="C8" s="11" t="s">
        <v>2</v>
      </c>
      <c r="D8" s="27" t="s">
        <v>9</v>
      </c>
      <c r="F8" s="46"/>
      <c r="G8" s="46"/>
      <c r="H8" s="46"/>
      <c r="I8" s="46"/>
      <c r="J8" s="46"/>
      <c r="K8" s="46"/>
      <c r="L8" s="46"/>
      <c r="M8" s="46"/>
      <c r="N8" s="46"/>
      <c r="O8" s="46"/>
      <c r="P8" s="46"/>
      <c r="Q8" s="46"/>
      <c r="R8" s="43">
        <f>+'END OF YR CONSOLIDATION'!H12</f>
        <v>36173</v>
      </c>
    </row>
    <row r="9" spans="2:21" x14ac:dyDescent="0.3">
      <c r="B9" s="5"/>
      <c r="C9" s="11"/>
      <c r="D9" s="27"/>
      <c r="E9" s="6"/>
      <c r="F9" s="44"/>
      <c r="G9" s="42"/>
      <c r="H9" s="42"/>
      <c r="I9" s="42"/>
      <c r="J9" s="42"/>
      <c r="K9" s="42"/>
      <c r="L9" s="42"/>
      <c r="M9" s="42"/>
      <c r="N9" s="42"/>
      <c r="O9" s="42"/>
      <c r="P9" s="42"/>
      <c r="Q9" s="42"/>
      <c r="R9" s="40"/>
    </row>
    <row r="10" spans="2:21" x14ac:dyDescent="0.3">
      <c r="B10" s="5">
        <v>7</v>
      </c>
      <c r="C10" s="11" t="s">
        <v>19</v>
      </c>
      <c r="D10" s="27" t="s">
        <v>9</v>
      </c>
      <c r="E10" s="6"/>
      <c r="F10" s="45">
        <v>1000</v>
      </c>
      <c r="G10" s="45">
        <v>3000</v>
      </c>
      <c r="H10" s="45">
        <v>3000</v>
      </c>
      <c r="I10" s="45">
        <v>3000</v>
      </c>
      <c r="J10" s="45">
        <v>3000</v>
      </c>
      <c r="K10" s="45">
        <v>4000</v>
      </c>
      <c r="L10" s="45">
        <v>4000</v>
      </c>
      <c r="M10" s="45">
        <v>4000</v>
      </c>
      <c r="N10" s="45">
        <v>4000</v>
      </c>
      <c r="O10" s="45">
        <v>4000</v>
      </c>
      <c r="P10" s="45">
        <v>4000</v>
      </c>
      <c r="Q10" s="45">
        <v>3000</v>
      </c>
      <c r="R10" s="40">
        <f>SUM(F10:Q10)</f>
        <v>40000</v>
      </c>
      <c r="U10" s="74"/>
    </row>
    <row r="11" spans="2:21" x14ac:dyDescent="0.3">
      <c r="B11" s="5">
        <v>8</v>
      </c>
      <c r="C11" s="11" t="s">
        <v>31</v>
      </c>
      <c r="D11" s="27" t="s">
        <v>11</v>
      </c>
      <c r="E11" s="6"/>
      <c r="F11" s="44">
        <f>+R7-F10</f>
        <v>39192</v>
      </c>
      <c r="G11" s="42">
        <f>IF(F11&gt;G10,F11-G10,0)</f>
        <v>36192</v>
      </c>
      <c r="H11" s="42">
        <f t="shared" ref="H11:Q11" si="1">IF(G11&gt;H10,G11-H10,0)</f>
        <v>33192</v>
      </c>
      <c r="I11" s="42">
        <f t="shared" si="1"/>
        <v>30192</v>
      </c>
      <c r="J11" s="42">
        <f t="shared" si="1"/>
        <v>27192</v>
      </c>
      <c r="K11" s="42">
        <f t="shared" si="1"/>
        <v>23192</v>
      </c>
      <c r="L11" s="42">
        <f t="shared" si="1"/>
        <v>19192</v>
      </c>
      <c r="M11" s="42">
        <f t="shared" si="1"/>
        <v>15192</v>
      </c>
      <c r="N11" s="42">
        <f t="shared" si="1"/>
        <v>11192</v>
      </c>
      <c r="O11" s="42">
        <f t="shared" si="1"/>
        <v>7192</v>
      </c>
      <c r="P11" s="42">
        <f t="shared" si="1"/>
        <v>3192</v>
      </c>
      <c r="Q11" s="42">
        <f t="shared" si="1"/>
        <v>192</v>
      </c>
      <c r="R11" s="40">
        <f>+Q11</f>
        <v>192</v>
      </c>
    </row>
    <row r="12" spans="2:21" x14ac:dyDescent="0.3">
      <c r="B12" s="14">
        <v>9</v>
      </c>
      <c r="C12" s="11" t="s">
        <v>18</v>
      </c>
      <c r="D12" s="27" t="s">
        <v>11</v>
      </c>
      <c r="E12" s="6"/>
      <c r="F12" s="44">
        <f t="shared" ref="F12:P12" si="2">IF(F11&gt;0,0,F10-E11)</f>
        <v>0</v>
      </c>
      <c r="G12" s="44">
        <f t="shared" si="2"/>
        <v>0</v>
      </c>
      <c r="H12" s="44">
        <f t="shared" si="2"/>
        <v>0</v>
      </c>
      <c r="I12" s="44">
        <f t="shared" si="2"/>
        <v>0</v>
      </c>
      <c r="J12" s="44">
        <f t="shared" si="2"/>
        <v>0</v>
      </c>
      <c r="K12" s="44">
        <f t="shared" si="2"/>
        <v>0</v>
      </c>
      <c r="L12" s="44">
        <f t="shared" si="2"/>
        <v>0</v>
      </c>
      <c r="M12" s="44">
        <f t="shared" si="2"/>
        <v>0</v>
      </c>
      <c r="N12" s="44">
        <f t="shared" si="2"/>
        <v>0</v>
      </c>
      <c r="O12" s="44">
        <f t="shared" si="2"/>
        <v>0</v>
      </c>
      <c r="P12" s="44">
        <f t="shared" si="2"/>
        <v>0</v>
      </c>
      <c r="Q12" s="44">
        <f>IF(Q11&gt;0,0,Q10-P11)</f>
        <v>0</v>
      </c>
      <c r="R12" s="40">
        <f>SUM(F12:Q12)</f>
        <v>0</v>
      </c>
    </row>
    <row r="13" spans="2:21" x14ac:dyDescent="0.3">
      <c r="B13" s="5"/>
      <c r="C13" s="11"/>
      <c r="D13" s="27"/>
      <c r="E13" s="6"/>
      <c r="F13" s="44"/>
      <c r="G13" s="42"/>
      <c r="H13" s="42"/>
      <c r="I13" s="42"/>
      <c r="J13" s="42"/>
      <c r="K13" s="42"/>
      <c r="L13" s="42"/>
      <c r="M13" s="42"/>
      <c r="N13" s="42"/>
      <c r="O13" s="42"/>
      <c r="P13" s="42"/>
      <c r="Q13" s="42"/>
      <c r="R13" s="40"/>
    </row>
    <row r="14" spans="2:21" x14ac:dyDescent="0.3">
      <c r="B14" s="5">
        <v>10</v>
      </c>
      <c r="C14" s="25" t="s">
        <v>20</v>
      </c>
      <c r="D14" s="28" t="s">
        <v>10</v>
      </c>
      <c r="E14" s="16"/>
      <c r="F14" s="44">
        <f t="shared" ref="F14:Q14" si="3">+F10*F5</f>
        <v>198000</v>
      </c>
      <c r="G14" s="44">
        <f t="shared" si="3"/>
        <v>594000</v>
      </c>
      <c r="H14" s="44">
        <f t="shared" si="3"/>
        <v>594000</v>
      </c>
      <c r="I14" s="44">
        <f t="shared" si="3"/>
        <v>594000</v>
      </c>
      <c r="J14" s="44">
        <f t="shared" si="3"/>
        <v>594000</v>
      </c>
      <c r="K14" s="44">
        <f t="shared" si="3"/>
        <v>792000</v>
      </c>
      <c r="L14" s="44">
        <f t="shared" si="3"/>
        <v>792000</v>
      </c>
      <c r="M14" s="44">
        <f t="shared" si="3"/>
        <v>792000</v>
      </c>
      <c r="N14" s="44">
        <f t="shared" si="3"/>
        <v>792000</v>
      </c>
      <c r="O14" s="44">
        <f t="shared" si="3"/>
        <v>792000</v>
      </c>
      <c r="P14" s="44">
        <f t="shared" si="3"/>
        <v>792000</v>
      </c>
      <c r="Q14" s="44">
        <f t="shared" si="3"/>
        <v>594000</v>
      </c>
      <c r="R14" s="40">
        <f>SUM(F14:Q14)</f>
        <v>7920000</v>
      </c>
    </row>
    <row r="15" spans="2:21" x14ac:dyDescent="0.3">
      <c r="B15"/>
      <c r="C15" s="11"/>
    </row>
    <row r="16" spans="2:21" x14ac:dyDescent="0.3">
      <c r="B16"/>
      <c r="C16" s="11"/>
    </row>
    <row r="17" spans="2:18" x14ac:dyDescent="0.3">
      <c r="B17"/>
      <c r="C17" t="s">
        <v>32</v>
      </c>
      <c r="R17"/>
    </row>
    <row r="18" spans="2:18" x14ac:dyDescent="0.3">
      <c r="C18" t="s">
        <v>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topLeftCell="B1" zoomScale="70" zoomScaleNormal="70" workbookViewId="0">
      <selection activeCell="R8" sqref="R8"/>
    </sheetView>
  </sheetViews>
  <sheetFormatPr defaultRowHeight="14.4" x14ac:dyDescent="0.3"/>
  <cols>
    <col min="2" max="2" width="5.109375" style="10" bestFit="1" customWidth="1"/>
    <col min="3" max="3" width="38.6640625" customWidth="1"/>
    <col min="4" max="4" width="7.33203125" bestFit="1" customWidth="1"/>
    <col min="5" max="5" width="1.33203125" customWidth="1"/>
    <col min="6" max="6" width="12.6640625" bestFit="1" customWidth="1"/>
    <col min="7" max="17" width="11.109375" bestFit="1" customWidth="1"/>
    <col min="18" max="18" width="11.33203125" style="10" customWidth="1"/>
  </cols>
  <sheetData>
    <row r="1" spans="2:18" x14ac:dyDescent="0.3">
      <c r="C1" s="21" t="s">
        <v>17</v>
      </c>
      <c r="D1" s="22">
        <f>'END OF YR CONSOLIDATION'!$I$5</f>
        <v>4</v>
      </c>
    </row>
    <row r="2" spans="2:18" x14ac:dyDescent="0.3">
      <c r="F2" t="s">
        <v>16</v>
      </c>
    </row>
    <row r="3" spans="2:18" x14ac:dyDescent="0.3">
      <c r="D3" s="9" t="s">
        <v>7</v>
      </c>
      <c r="F3" s="3">
        <v>1</v>
      </c>
      <c r="G3" s="3">
        <v>2</v>
      </c>
      <c r="H3" s="3">
        <v>3</v>
      </c>
      <c r="I3" s="3">
        <v>4</v>
      </c>
      <c r="J3" s="3">
        <v>5</v>
      </c>
      <c r="K3" s="3">
        <v>6</v>
      </c>
      <c r="L3" s="3">
        <v>7</v>
      </c>
      <c r="M3" s="3">
        <v>8</v>
      </c>
      <c r="N3" s="3">
        <v>9</v>
      </c>
      <c r="O3" s="3">
        <v>10</v>
      </c>
      <c r="P3" s="3">
        <v>11</v>
      </c>
      <c r="Q3" s="3">
        <v>12</v>
      </c>
    </row>
    <row r="4" spans="2:18" x14ac:dyDescent="0.3">
      <c r="B4" s="12"/>
      <c r="C4" s="11"/>
      <c r="D4" s="26"/>
      <c r="E4" s="2"/>
    </row>
    <row r="5" spans="2:18" x14ac:dyDescent="0.3">
      <c r="B5" s="5">
        <v>1</v>
      </c>
      <c r="C5" s="11" t="s">
        <v>0</v>
      </c>
      <c r="D5" s="27" t="s">
        <v>8</v>
      </c>
      <c r="E5" s="6"/>
      <c r="F5" s="39">
        <f>HLOOKUP($D$1,'END OF YR CONSOLIDATION'!F5:V7,3,FALSE)</f>
        <v>199</v>
      </c>
      <c r="G5" s="39">
        <f>+F5</f>
        <v>199</v>
      </c>
      <c r="H5" s="39">
        <f t="shared" ref="H5:Q5" si="0">+G5</f>
        <v>199</v>
      </c>
      <c r="I5" s="39">
        <f t="shared" si="0"/>
        <v>199</v>
      </c>
      <c r="J5" s="39">
        <f t="shared" si="0"/>
        <v>199</v>
      </c>
      <c r="K5" s="39">
        <f t="shared" si="0"/>
        <v>199</v>
      </c>
      <c r="L5" s="39">
        <f t="shared" si="0"/>
        <v>199</v>
      </c>
      <c r="M5" s="39">
        <f t="shared" si="0"/>
        <v>199</v>
      </c>
      <c r="N5" s="39">
        <f t="shared" si="0"/>
        <v>199</v>
      </c>
      <c r="O5" s="39">
        <f t="shared" si="0"/>
        <v>199</v>
      </c>
      <c r="P5" s="39">
        <f t="shared" si="0"/>
        <v>199</v>
      </c>
      <c r="Q5" s="39">
        <f t="shared" si="0"/>
        <v>199</v>
      </c>
      <c r="R5" s="40"/>
    </row>
    <row r="6" spans="2:18" x14ac:dyDescent="0.3">
      <c r="B6" s="5"/>
      <c r="C6" s="11"/>
      <c r="D6" s="27"/>
      <c r="E6" s="6"/>
      <c r="F6" s="41"/>
      <c r="G6" s="42"/>
      <c r="H6" s="42"/>
      <c r="I6" s="42"/>
      <c r="J6" s="42"/>
      <c r="K6" s="42"/>
      <c r="L6" s="42"/>
      <c r="M6" s="42"/>
      <c r="N6" s="42"/>
      <c r="O6" s="42"/>
      <c r="P6" s="42"/>
      <c r="Q6" s="42"/>
      <c r="R6" s="40"/>
    </row>
    <row r="7" spans="2:18" x14ac:dyDescent="0.3">
      <c r="B7" s="5">
        <v>4</v>
      </c>
      <c r="C7" s="11" t="s">
        <v>1</v>
      </c>
      <c r="D7" s="27" t="s">
        <v>9</v>
      </c>
      <c r="F7" s="46"/>
      <c r="G7" s="46"/>
      <c r="H7" s="46"/>
      <c r="I7" s="46"/>
      <c r="J7" s="46"/>
      <c r="K7" s="46"/>
      <c r="L7" s="46"/>
      <c r="M7" s="46"/>
      <c r="N7" s="46"/>
      <c r="O7" s="46"/>
      <c r="P7" s="46"/>
      <c r="Q7" s="46"/>
      <c r="R7" s="43">
        <f>+'END OF YR CONSOLIDATION'!I11</f>
        <v>39899</v>
      </c>
    </row>
    <row r="8" spans="2:18" x14ac:dyDescent="0.3">
      <c r="B8" s="5">
        <v>5</v>
      </c>
      <c r="C8" s="11" t="s">
        <v>2</v>
      </c>
      <c r="D8" s="27" t="s">
        <v>9</v>
      </c>
      <c r="F8" s="46"/>
      <c r="G8" s="46"/>
      <c r="H8" s="46"/>
      <c r="I8" s="46"/>
      <c r="J8" s="46"/>
      <c r="K8" s="46"/>
      <c r="L8" s="46"/>
      <c r="M8" s="46"/>
      <c r="N8" s="46"/>
      <c r="O8" s="46"/>
      <c r="P8" s="46"/>
      <c r="Q8" s="46"/>
      <c r="R8" s="43">
        <f>+'END OF YR CONSOLIDATION'!I12</f>
        <v>35909</v>
      </c>
    </row>
    <row r="9" spans="2:18" x14ac:dyDescent="0.3">
      <c r="B9" s="5"/>
      <c r="C9" s="11"/>
      <c r="D9" s="27"/>
      <c r="E9" s="6"/>
      <c r="F9" s="44"/>
      <c r="G9" s="42"/>
      <c r="H9" s="42"/>
      <c r="I9" s="42"/>
      <c r="J9" s="42"/>
      <c r="K9" s="42"/>
      <c r="L9" s="42"/>
      <c r="M9" s="42"/>
      <c r="N9" s="42"/>
      <c r="O9" s="42"/>
      <c r="P9" s="42"/>
      <c r="Q9" s="42"/>
      <c r="R9" s="40"/>
    </row>
    <row r="10" spans="2:18" x14ac:dyDescent="0.3">
      <c r="B10" s="5">
        <v>7</v>
      </c>
      <c r="C10" s="11" t="s">
        <v>19</v>
      </c>
      <c r="D10" s="27" t="s">
        <v>9</v>
      </c>
      <c r="E10" s="6"/>
      <c r="F10" s="45">
        <v>2900</v>
      </c>
      <c r="G10" s="45">
        <v>2900</v>
      </c>
      <c r="H10" s="45">
        <v>2900</v>
      </c>
      <c r="I10" s="45">
        <v>2900</v>
      </c>
      <c r="J10" s="45">
        <v>2900</v>
      </c>
      <c r="K10" s="45">
        <v>2900</v>
      </c>
      <c r="L10" s="45">
        <v>3000</v>
      </c>
      <c r="M10" s="45">
        <v>3000</v>
      </c>
      <c r="N10" s="45">
        <v>3000</v>
      </c>
      <c r="O10" s="45">
        <v>3000</v>
      </c>
      <c r="P10" s="45">
        <v>3000</v>
      </c>
      <c r="Q10" s="45">
        <v>3000</v>
      </c>
      <c r="R10" s="40">
        <f>SUM(F10:Q10)</f>
        <v>35400</v>
      </c>
    </row>
    <row r="11" spans="2:18" x14ac:dyDescent="0.3">
      <c r="B11" s="5">
        <v>8</v>
      </c>
      <c r="C11" s="11" t="s">
        <v>31</v>
      </c>
      <c r="D11" s="27" t="s">
        <v>11</v>
      </c>
      <c r="E11" s="6"/>
      <c r="F11" s="44">
        <f>+R7-F10</f>
        <v>36999</v>
      </c>
      <c r="G11" s="42">
        <f>IF(F11&gt;G10,F11-G10,0)</f>
        <v>34099</v>
      </c>
      <c r="H11" s="42">
        <f t="shared" ref="H11:Q11" si="1">IF(G11&gt;H10,G11-H10,0)</f>
        <v>31199</v>
      </c>
      <c r="I11" s="42">
        <f t="shared" si="1"/>
        <v>28299</v>
      </c>
      <c r="J11" s="42">
        <f t="shared" si="1"/>
        <v>25399</v>
      </c>
      <c r="K11" s="42">
        <f t="shared" si="1"/>
        <v>22499</v>
      </c>
      <c r="L11" s="42">
        <f t="shared" si="1"/>
        <v>19499</v>
      </c>
      <c r="M11" s="42">
        <f t="shared" si="1"/>
        <v>16499</v>
      </c>
      <c r="N11" s="42">
        <f t="shared" si="1"/>
        <v>13499</v>
      </c>
      <c r="O11" s="42">
        <f t="shared" si="1"/>
        <v>10499</v>
      </c>
      <c r="P11" s="42">
        <f t="shared" si="1"/>
        <v>7499</v>
      </c>
      <c r="Q11" s="42">
        <f t="shared" si="1"/>
        <v>4499</v>
      </c>
      <c r="R11" s="40">
        <f>+Q11</f>
        <v>4499</v>
      </c>
    </row>
    <row r="12" spans="2:18" x14ac:dyDescent="0.3">
      <c r="B12" s="14">
        <v>9</v>
      </c>
      <c r="C12" s="11" t="s">
        <v>18</v>
      </c>
      <c r="D12" s="27" t="s">
        <v>11</v>
      </c>
      <c r="E12" s="6"/>
      <c r="F12" s="44">
        <f t="shared" ref="F12:P12" si="2">IF(F11&gt;0,0,F10-E11)</f>
        <v>0</v>
      </c>
      <c r="G12" s="44">
        <f t="shared" si="2"/>
        <v>0</v>
      </c>
      <c r="H12" s="44">
        <f t="shared" si="2"/>
        <v>0</v>
      </c>
      <c r="I12" s="44">
        <f t="shared" si="2"/>
        <v>0</v>
      </c>
      <c r="J12" s="44">
        <f t="shared" si="2"/>
        <v>0</v>
      </c>
      <c r="K12" s="44">
        <f t="shared" si="2"/>
        <v>0</v>
      </c>
      <c r="L12" s="44">
        <f t="shared" si="2"/>
        <v>0</v>
      </c>
      <c r="M12" s="44">
        <f t="shared" si="2"/>
        <v>0</v>
      </c>
      <c r="N12" s="44">
        <f t="shared" si="2"/>
        <v>0</v>
      </c>
      <c r="O12" s="44">
        <f t="shared" si="2"/>
        <v>0</v>
      </c>
      <c r="P12" s="44">
        <f t="shared" si="2"/>
        <v>0</v>
      </c>
      <c r="Q12" s="44">
        <f>IF(Q11&gt;0,0,Q10-P11)</f>
        <v>0</v>
      </c>
      <c r="R12" s="40">
        <f>SUM(F12:Q12)</f>
        <v>0</v>
      </c>
    </row>
    <row r="13" spans="2:18" x14ac:dyDescent="0.3">
      <c r="B13" s="5"/>
      <c r="C13" s="11"/>
      <c r="D13" s="27"/>
      <c r="E13" s="6"/>
      <c r="F13" s="44"/>
      <c r="G13" s="42"/>
      <c r="H13" s="42"/>
      <c r="I13" s="42"/>
      <c r="J13" s="42"/>
      <c r="K13" s="42"/>
      <c r="L13" s="42"/>
      <c r="M13" s="42"/>
      <c r="N13" s="42"/>
      <c r="O13" s="42"/>
      <c r="P13" s="42"/>
      <c r="Q13" s="42"/>
      <c r="R13" s="40"/>
    </row>
    <row r="14" spans="2:18" x14ac:dyDescent="0.3">
      <c r="B14" s="5">
        <v>10</v>
      </c>
      <c r="C14" s="25" t="s">
        <v>20</v>
      </c>
      <c r="D14" s="28" t="s">
        <v>10</v>
      </c>
      <c r="E14" s="16"/>
      <c r="F14" s="44">
        <f t="shared" ref="F14:Q14" si="3">+F10*F5</f>
        <v>577100</v>
      </c>
      <c r="G14" s="44">
        <f t="shared" si="3"/>
        <v>577100</v>
      </c>
      <c r="H14" s="44">
        <f t="shared" si="3"/>
        <v>577100</v>
      </c>
      <c r="I14" s="44">
        <f t="shared" si="3"/>
        <v>577100</v>
      </c>
      <c r="J14" s="44">
        <f t="shared" si="3"/>
        <v>577100</v>
      </c>
      <c r="K14" s="44">
        <f t="shared" si="3"/>
        <v>577100</v>
      </c>
      <c r="L14" s="44">
        <f t="shared" si="3"/>
        <v>597000</v>
      </c>
      <c r="M14" s="44">
        <f t="shared" si="3"/>
        <v>597000</v>
      </c>
      <c r="N14" s="44">
        <f t="shared" si="3"/>
        <v>597000</v>
      </c>
      <c r="O14" s="44">
        <f t="shared" si="3"/>
        <v>597000</v>
      </c>
      <c r="P14" s="44">
        <f t="shared" si="3"/>
        <v>597000</v>
      </c>
      <c r="Q14" s="44">
        <f t="shared" si="3"/>
        <v>597000</v>
      </c>
      <c r="R14" s="40">
        <f>SUM(F14:Q14)</f>
        <v>7044600</v>
      </c>
    </row>
    <row r="15" spans="2:18" x14ac:dyDescent="0.3">
      <c r="B15"/>
      <c r="C15" s="11"/>
    </row>
    <row r="16" spans="2:18" x14ac:dyDescent="0.3">
      <c r="B16"/>
      <c r="C16" s="11"/>
    </row>
    <row r="17" spans="2:18" x14ac:dyDescent="0.3">
      <c r="B17"/>
      <c r="C17" t="s">
        <v>32</v>
      </c>
      <c r="R17"/>
    </row>
    <row r="18" spans="2:18" x14ac:dyDescent="0.3">
      <c r="C18" t="s">
        <v>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zoomScale="70" zoomScaleNormal="70" workbookViewId="0">
      <selection activeCell="R8" sqref="R8"/>
    </sheetView>
  </sheetViews>
  <sheetFormatPr defaultRowHeight="14.4" x14ac:dyDescent="0.3"/>
  <cols>
    <col min="2" max="2" width="5.109375" style="10" bestFit="1" customWidth="1"/>
    <col min="3" max="3" width="38.6640625" customWidth="1"/>
    <col min="4" max="4" width="7.33203125" bestFit="1" customWidth="1"/>
    <col min="5" max="5" width="1.33203125" customWidth="1"/>
    <col min="6" max="6" width="12.6640625" bestFit="1" customWidth="1"/>
    <col min="7" max="17" width="11.109375" bestFit="1" customWidth="1"/>
    <col min="18" max="18" width="11.33203125" style="10" customWidth="1"/>
  </cols>
  <sheetData>
    <row r="1" spans="2:18" x14ac:dyDescent="0.3">
      <c r="C1" s="21" t="s">
        <v>17</v>
      </c>
      <c r="D1" s="22">
        <f>'END OF YR CONSOLIDATION'!$J$5</f>
        <v>5</v>
      </c>
    </row>
    <row r="2" spans="2:18" x14ac:dyDescent="0.3">
      <c r="F2" t="s">
        <v>16</v>
      </c>
    </row>
    <row r="3" spans="2:18" x14ac:dyDescent="0.3">
      <c r="D3" s="9" t="s">
        <v>7</v>
      </c>
      <c r="F3" s="3">
        <v>1</v>
      </c>
      <c r="G3" s="3">
        <v>2</v>
      </c>
      <c r="H3" s="3">
        <v>3</v>
      </c>
      <c r="I3" s="3">
        <v>4</v>
      </c>
      <c r="J3" s="3">
        <v>5</v>
      </c>
      <c r="K3" s="3">
        <v>6</v>
      </c>
      <c r="L3" s="3">
        <v>7</v>
      </c>
      <c r="M3" s="3">
        <v>8</v>
      </c>
      <c r="N3" s="3">
        <v>9</v>
      </c>
      <c r="O3" s="3">
        <v>10</v>
      </c>
      <c r="P3" s="3">
        <v>11</v>
      </c>
      <c r="Q3" s="3">
        <v>12</v>
      </c>
    </row>
    <row r="4" spans="2:18" x14ac:dyDescent="0.3">
      <c r="B4" s="12"/>
      <c r="C4" s="11"/>
      <c r="D4" s="26"/>
      <c r="E4" s="2"/>
    </row>
    <row r="5" spans="2:18" x14ac:dyDescent="0.3">
      <c r="B5" s="5">
        <v>1</v>
      </c>
      <c r="C5" s="11" t="s">
        <v>0</v>
      </c>
      <c r="D5" s="27" t="s">
        <v>8</v>
      </c>
      <c r="E5" s="6"/>
      <c r="F5" s="39">
        <f>HLOOKUP($D$1,'END OF YR CONSOLIDATION'!F5:V7,3,FALSE)</f>
        <v>199.9</v>
      </c>
      <c r="G5" s="39">
        <f>+F5</f>
        <v>199.9</v>
      </c>
      <c r="H5" s="39">
        <f t="shared" ref="H5:Q5" si="0">+G5</f>
        <v>199.9</v>
      </c>
      <c r="I5" s="39">
        <f t="shared" si="0"/>
        <v>199.9</v>
      </c>
      <c r="J5" s="39">
        <f t="shared" si="0"/>
        <v>199.9</v>
      </c>
      <c r="K5" s="39">
        <f t="shared" si="0"/>
        <v>199.9</v>
      </c>
      <c r="L5" s="39">
        <f t="shared" si="0"/>
        <v>199.9</v>
      </c>
      <c r="M5" s="39">
        <f t="shared" si="0"/>
        <v>199.9</v>
      </c>
      <c r="N5" s="39">
        <f t="shared" si="0"/>
        <v>199.9</v>
      </c>
      <c r="O5" s="39">
        <f t="shared" si="0"/>
        <v>199.9</v>
      </c>
      <c r="P5" s="39">
        <f t="shared" si="0"/>
        <v>199.9</v>
      </c>
      <c r="Q5" s="39">
        <f t="shared" si="0"/>
        <v>199.9</v>
      </c>
      <c r="R5" s="40"/>
    </row>
    <row r="6" spans="2:18" x14ac:dyDescent="0.3">
      <c r="B6" s="5"/>
      <c r="C6" s="11"/>
      <c r="D6" s="27"/>
      <c r="E6" s="6"/>
      <c r="F6" s="41"/>
      <c r="G6" s="42"/>
      <c r="H6" s="42"/>
      <c r="I6" s="42"/>
      <c r="J6" s="42"/>
      <c r="K6" s="42"/>
      <c r="L6" s="42"/>
      <c r="M6" s="42"/>
      <c r="N6" s="42"/>
      <c r="O6" s="42"/>
      <c r="P6" s="42"/>
      <c r="Q6" s="42"/>
      <c r="R6" s="40"/>
    </row>
    <row r="7" spans="2:18" x14ac:dyDescent="0.3">
      <c r="B7" s="5">
        <v>4</v>
      </c>
      <c r="C7" s="11" t="s">
        <v>1</v>
      </c>
      <c r="D7" s="27" t="s">
        <v>9</v>
      </c>
      <c r="F7" s="46"/>
      <c r="G7" s="46"/>
      <c r="H7" s="46"/>
      <c r="I7" s="46"/>
      <c r="J7" s="46"/>
      <c r="K7" s="46"/>
      <c r="L7" s="46"/>
      <c r="M7" s="46"/>
      <c r="N7" s="46"/>
      <c r="O7" s="46"/>
      <c r="P7" s="46"/>
      <c r="Q7" s="46"/>
      <c r="R7" s="43">
        <f>+'END OF YR CONSOLIDATION'!J11</f>
        <v>39698</v>
      </c>
    </row>
    <row r="8" spans="2:18" x14ac:dyDescent="0.3">
      <c r="B8" s="5">
        <v>5</v>
      </c>
      <c r="C8" s="11" t="s">
        <v>2</v>
      </c>
      <c r="D8" s="27" t="s">
        <v>9</v>
      </c>
      <c r="F8" s="46"/>
      <c r="G8" s="46"/>
      <c r="H8" s="46"/>
      <c r="I8" s="46"/>
      <c r="J8" s="46"/>
      <c r="K8" s="46"/>
      <c r="L8" s="46"/>
      <c r="M8" s="46"/>
      <c r="N8" s="46"/>
      <c r="O8" s="46"/>
      <c r="P8" s="46"/>
      <c r="Q8" s="46"/>
      <c r="R8" s="43">
        <f>+'END OF YR CONSOLIDATION'!J12</f>
        <v>35728</v>
      </c>
    </row>
    <row r="9" spans="2:18" x14ac:dyDescent="0.3">
      <c r="B9" s="5"/>
      <c r="C9" s="11"/>
      <c r="D9" s="27"/>
      <c r="E9" s="6"/>
      <c r="F9" s="44"/>
      <c r="G9" s="42"/>
      <c r="H9" s="42"/>
      <c r="I9" s="42"/>
      <c r="J9" s="42"/>
      <c r="K9" s="42"/>
      <c r="L9" s="42"/>
      <c r="M9" s="42"/>
      <c r="N9" s="42"/>
      <c r="O9" s="42"/>
      <c r="P9" s="42"/>
      <c r="Q9" s="42"/>
      <c r="R9" s="40"/>
    </row>
    <row r="10" spans="2:18" x14ac:dyDescent="0.3">
      <c r="B10" s="5">
        <v>7</v>
      </c>
      <c r="C10" s="11" t="s">
        <v>19</v>
      </c>
      <c r="D10" s="27" t="s">
        <v>9</v>
      </c>
      <c r="E10" s="6"/>
      <c r="F10" s="45">
        <v>2800</v>
      </c>
      <c r="G10" s="45">
        <v>2800</v>
      </c>
      <c r="H10" s="45">
        <v>2800</v>
      </c>
      <c r="I10" s="45">
        <v>2800</v>
      </c>
      <c r="J10" s="45">
        <v>2800</v>
      </c>
      <c r="K10" s="45">
        <v>2800</v>
      </c>
      <c r="L10" s="45">
        <v>2800</v>
      </c>
      <c r="M10" s="45">
        <v>2800</v>
      </c>
      <c r="N10" s="45">
        <v>2800</v>
      </c>
      <c r="O10" s="45">
        <v>2800</v>
      </c>
      <c r="P10" s="45">
        <v>2800</v>
      </c>
      <c r="Q10" s="45">
        <v>2800</v>
      </c>
      <c r="R10" s="40">
        <f>SUM(F10:Q10)</f>
        <v>33600</v>
      </c>
    </row>
    <row r="11" spans="2:18" x14ac:dyDescent="0.3">
      <c r="B11" s="5">
        <v>8</v>
      </c>
      <c r="C11" s="11" t="s">
        <v>31</v>
      </c>
      <c r="D11" s="27" t="s">
        <v>11</v>
      </c>
      <c r="E11" s="6"/>
      <c r="F11" s="44">
        <f>+R7-F10</f>
        <v>36898</v>
      </c>
      <c r="G11" s="42">
        <f>IF(F11&gt;G10,F11-G10,0)</f>
        <v>34098</v>
      </c>
      <c r="H11" s="42">
        <f t="shared" ref="H11:Q11" si="1">IF(G11&gt;H10,G11-H10,0)</f>
        <v>31298</v>
      </c>
      <c r="I11" s="42">
        <f t="shared" si="1"/>
        <v>28498</v>
      </c>
      <c r="J11" s="42">
        <f t="shared" si="1"/>
        <v>25698</v>
      </c>
      <c r="K11" s="42">
        <f t="shared" si="1"/>
        <v>22898</v>
      </c>
      <c r="L11" s="42">
        <f t="shared" si="1"/>
        <v>20098</v>
      </c>
      <c r="M11" s="42">
        <f t="shared" si="1"/>
        <v>17298</v>
      </c>
      <c r="N11" s="42">
        <f t="shared" si="1"/>
        <v>14498</v>
      </c>
      <c r="O11" s="42">
        <f t="shared" si="1"/>
        <v>11698</v>
      </c>
      <c r="P11" s="42">
        <f t="shared" si="1"/>
        <v>8898</v>
      </c>
      <c r="Q11" s="42">
        <f t="shared" si="1"/>
        <v>6098</v>
      </c>
      <c r="R11" s="40">
        <f>+Q11</f>
        <v>6098</v>
      </c>
    </row>
    <row r="12" spans="2:18" x14ac:dyDescent="0.3">
      <c r="B12" s="14">
        <v>9</v>
      </c>
      <c r="C12" s="11" t="s">
        <v>18</v>
      </c>
      <c r="D12" s="27" t="s">
        <v>11</v>
      </c>
      <c r="E12" s="6"/>
      <c r="F12" s="44">
        <f t="shared" ref="F12:P12" si="2">IF(F11&gt;0,0,F10-E11)</f>
        <v>0</v>
      </c>
      <c r="G12" s="44">
        <f t="shared" si="2"/>
        <v>0</v>
      </c>
      <c r="H12" s="44">
        <f t="shared" si="2"/>
        <v>0</v>
      </c>
      <c r="I12" s="44">
        <f t="shared" si="2"/>
        <v>0</v>
      </c>
      <c r="J12" s="44">
        <f t="shared" si="2"/>
        <v>0</v>
      </c>
      <c r="K12" s="44">
        <f t="shared" si="2"/>
        <v>0</v>
      </c>
      <c r="L12" s="44">
        <f t="shared" si="2"/>
        <v>0</v>
      </c>
      <c r="M12" s="44">
        <f t="shared" si="2"/>
        <v>0</v>
      </c>
      <c r="N12" s="44">
        <f t="shared" si="2"/>
        <v>0</v>
      </c>
      <c r="O12" s="44">
        <f t="shared" si="2"/>
        <v>0</v>
      </c>
      <c r="P12" s="44">
        <f t="shared" si="2"/>
        <v>0</v>
      </c>
      <c r="Q12" s="44">
        <f>IF(Q11&gt;0,0,Q10-P11)</f>
        <v>0</v>
      </c>
      <c r="R12" s="40">
        <f>SUM(F12:Q12)</f>
        <v>0</v>
      </c>
    </row>
    <row r="13" spans="2:18" x14ac:dyDescent="0.3">
      <c r="B13" s="5"/>
      <c r="C13" s="11"/>
      <c r="D13" s="27"/>
      <c r="E13" s="6"/>
      <c r="F13" s="44"/>
      <c r="G13" s="42"/>
      <c r="H13" s="42"/>
      <c r="I13" s="42"/>
      <c r="J13" s="42"/>
      <c r="K13" s="42"/>
      <c r="L13" s="42"/>
      <c r="M13" s="42"/>
      <c r="N13" s="42"/>
      <c r="O13" s="42"/>
      <c r="P13" s="42"/>
      <c r="Q13" s="42"/>
      <c r="R13" s="40"/>
    </row>
    <row r="14" spans="2:18" x14ac:dyDescent="0.3">
      <c r="B14" s="5">
        <v>10</v>
      </c>
      <c r="C14" s="25" t="s">
        <v>20</v>
      </c>
      <c r="D14" s="28" t="s">
        <v>10</v>
      </c>
      <c r="E14" s="16"/>
      <c r="F14" s="44">
        <f t="shared" ref="F14:Q14" si="3">+F10*F5</f>
        <v>559720</v>
      </c>
      <c r="G14" s="44">
        <f t="shared" si="3"/>
        <v>559720</v>
      </c>
      <c r="H14" s="44">
        <f t="shared" si="3"/>
        <v>559720</v>
      </c>
      <c r="I14" s="44">
        <f t="shared" si="3"/>
        <v>559720</v>
      </c>
      <c r="J14" s="44">
        <f t="shared" si="3"/>
        <v>559720</v>
      </c>
      <c r="K14" s="44">
        <f t="shared" si="3"/>
        <v>559720</v>
      </c>
      <c r="L14" s="44">
        <f t="shared" si="3"/>
        <v>559720</v>
      </c>
      <c r="M14" s="44">
        <f t="shared" si="3"/>
        <v>559720</v>
      </c>
      <c r="N14" s="44">
        <f t="shared" si="3"/>
        <v>559720</v>
      </c>
      <c r="O14" s="44">
        <f t="shared" si="3"/>
        <v>559720</v>
      </c>
      <c r="P14" s="44">
        <f t="shared" si="3"/>
        <v>559720</v>
      </c>
      <c r="Q14" s="44">
        <f t="shared" si="3"/>
        <v>559720</v>
      </c>
      <c r="R14" s="40">
        <f>SUM(F14:Q14)</f>
        <v>6716640</v>
      </c>
    </row>
    <row r="15" spans="2:18" x14ac:dyDescent="0.3">
      <c r="B15"/>
      <c r="C15" s="11"/>
    </row>
    <row r="16" spans="2:18" x14ac:dyDescent="0.3">
      <c r="B16"/>
      <c r="C16" s="11"/>
    </row>
    <row r="17" spans="2:18" x14ac:dyDescent="0.3">
      <c r="B17"/>
      <c r="C17" t="s">
        <v>32</v>
      </c>
      <c r="R17"/>
    </row>
    <row r="18" spans="2:18" x14ac:dyDescent="0.3">
      <c r="C18" t="s">
        <v>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zoomScale="70" zoomScaleNormal="70" workbookViewId="0">
      <selection activeCell="R8" sqref="R8"/>
    </sheetView>
  </sheetViews>
  <sheetFormatPr defaultRowHeight="14.4" x14ac:dyDescent="0.3"/>
  <cols>
    <col min="2" max="2" width="5.109375" style="10" bestFit="1" customWidth="1"/>
    <col min="3" max="3" width="38.6640625" customWidth="1"/>
    <col min="4" max="4" width="7.33203125" bestFit="1" customWidth="1"/>
    <col min="5" max="5" width="1.33203125" customWidth="1"/>
    <col min="6" max="6" width="12.6640625" bestFit="1" customWidth="1"/>
    <col min="7" max="17" width="11.109375" bestFit="1" customWidth="1"/>
    <col min="18" max="18" width="11.33203125" style="10" customWidth="1"/>
  </cols>
  <sheetData>
    <row r="1" spans="2:18" x14ac:dyDescent="0.3">
      <c r="C1" s="21" t="s">
        <v>17</v>
      </c>
      <c r="D1" s="22">
        <f>'END OF YR CONSOLIDATION'!$K$5</f>
        <v>6</v>
      </c>
    </row>
    <row r="2" spans="2:18" x14ac:dyDescent="0.3">
      <c r="F2" t="s">
        <v>16</v>
      </c>
    </row>
    <row r="3" spans="2:18" x14ac:dyDescent="0.3">
      <c r="D3" s="9" t="s">
        <v>7</v>
      </c>
      <c r="F3" s="3">
        <v>1</v>
      </c>
      <c r="G3" s="3">
        <v>2</v>
      </c>
      <c r="H3" s="3">
        <v>3</v>
      </c>
      <c r="I3" s="3">
        <v>4</v>
      </c>
      <c r="J3" s="3">
        <v>5</v>
      </c>
      <c r="K3" s="3">
        <v>6</v>
      </c>
      <c r="L3" s="3">
        <v>7</v>
      </c>
      <c r="M3" s="3">
        <v>8</v>
      </c>
      <c r="N3" s="3">
        <v>9</v>
      </c>
      <c r="O3" s="3">
        <v>10</v>
      </c>
      <c r="P3" s="3">
        <v>11</v>
      </c>
      <c r="Q3" s="3">
        <v>12</v>
      </c>
    </row>
    <row r="4" spans="2:18" x14ac:dyDescent="0.3">
      <c r="B4" s="12"/>
      <c r="C4" s="11"/>
      <c r="D4" s="26"/>
      <c r="E4" s="2"/>
    </row>
    <row r="5" spans="2:18" x14ac:dyDescent="0.3">
      <c r="B5" s="5">
        <v>1</v>
      </c>
      <c r="C5" s="11" t="s">
        <v>0</v>
      </c>
      <c r="D5" s="27" t="s">
        <v>8</v>
      </c>
      <c r="E5" s="6"/>
      <c r="F5" s="39">
        <f>HLOOKUP($D$1,'END OF YR CONSOLIDATION'!F5:V7,3,FALSE)</f>
        <v>200.9</v>
      </c>
      <c r="G5" s="39">
        <f>+F5</f>
        <v>200.9</v>
      </c>
      <c r="H5" s="39">
        <f t="shared" ref="H5:Q5" si="0">+G5</f>
        <v>200.9</v>
      </c>
      <c r="I5" s="39">
        <f t="shared" si="0"/>
        <v>200.9</v>
      </c>
      <c r="J5" s="39">
        <f t="shared" si="0"/>
        <v>200.9</v>
      </c>
      <c r="K5" s="39">
        <f t="shared" si="0"/>
        <v>200.9</v>
      </c>
      <c r="L5" s="39">
        <f t="shared" si="0"/>
        <v>200.9</v>
      </c>
      <c r="M5" s="39">
        <f t="shared" si="0"/>
        <v>200.9</v>
      </c>
      <c r="N5" s="39">
        <f t="shared" si="0"/>
        <v>200.9</v>
      </c>
      <c r="O5" s="39">
        <f t="shared" si="0"/>
        <v>200.9</v>
      </c>
      <c r="P5" s="39">
        <f t="shared" si="0"/>
        <v>200.9</v>
      </c>
      <c r="Q5" s="39">
        <f t="shared" si="0"/>
        <v>200.9</v>
      </c>
      <c r="R5" s="40"/>
    </row>
    <row r="6" spans="2:18" x14ac:dyDescent="0.3">
      <c r="B6" s="5"/>
      <c r="C6" s="11"/>
      <c r="D6" s="27"/>
      <c r="E6" s="6"/>
      <c r="F6" s="41"/>
      <c r="G6" s="42"/>
      <c r="H6" s="42"/>
      <c r="I6" s="42"/>
      <c r="J6" s="42"/>
      <c r="K6" s="42"/>
      <c r="L6" s="42"/>
      <c r="M6" s="42"/>
      <c r="N6" s="42"/>
      <c r="O6" s="42"/>
      <c r="P6" s="42"/>
      <c r="Q6" s="42"/>
      <c r="R6" s="40"/>
    </row>
    <row r="7" spans="2:18" x14ac:dyDescent="0.3">
      <c r="B7" s="5">
        <v>4</v>
      </c>
      <c r="C7" s="11" t="s">
        <v>1</v>
      </c>
      <c r="D7" s="27" t="s">
        <v>9</v>
      </c>
      <c r="F7" s="46"/>
      <c r="G7" s="46"/>
      <c r="H7" s="46"/>
      <c r="I7" s="46"/>
      <c r="J7" s="46"/>
      <c r="K7" s="46"/>
      <c r="L7" s="46"/>
      <c r="M7" s="46"/>
      <c r="N7" s="46"/>
      <c r="O7" s="46"/>
      <c r="P7" s="46"/>
      <c r="Q7" s="46"/>
      <c r="R7" s="43">
        <f>+'END OF YR CONSOLIDATION'!K11</f>
        <v>39500</v>
      </c>
    </row>
    <row r="8" spans="2:18" x14ac:dyDescent="0.3">
      <c r="B8" s="5">
        <v>5</v>
      </c>
      <c r="C8" s="11" t="s">
        <v>2</v>
      </c>
      <c r="D8" s="27" t="s">
        <v>9</v>
      </c>
      <c r="F8" s="46"/>
      <c r="G8" s="46"/>
      <c r="H8" s="46"/>
      <c r="I8" s="46"/>
      <c r="J8" s="46"/>
      <c r="K8" s="46"/>
      <c r="L8" s="46"/>
      <c r="M8" s="46"/>
      <c r="N8" s="46"/>
      <c r="O8" s="46"/>
      <c r="P8" s="46"/>
      <c r="Q8" s="46"/>
      <c r="R8" s="43">
        <f>+'END OF YR CONSOLIDATION'!K12</f>
        <v>35550</v>
      </c>
    </row>
    <row r="9" spans="2:18" x14ac:dyDescent="0.3">
      <c r="B9" s="5"/>
      <c r="C9" s="11"/>
      <c r="D9" s="27"/>
      <c r="E9" s="6"/>
      <c r="F9" s="44"/>
      <c r="G9" s="42"/>
      <c r="H9" s="42"/>
      <c r="I9" s="42"/>
      <c r="J9" s="42"/>
      <c r="K9" s="42"/>
      <c r="L9" s="42"/>
      <c r="M9" s="42"/>
      <c r="N9" s="42"/>
      <c r="O9" s="42"/>
      <c r="P9" s="42"/>
      <c r="Q9" s="42"/>
      <c r="R9" s="40"/>
    </row>
    <row r="10" spans="2:18" x14ac:dyDescent="0.3">
      <c r="B10" s="5">
        <v>7</v>
      </c>
      <c r="C10" s="11" t="s">
        <v>19</v>
      </c>
      <c r="D10" s="27" t="s">
        <v>9</v>
      </c>
      <c r="E10" s="6"/>
      <c r="F10" s="45">
        <v>3000</v>
      </c>
      <c r="G10" s="45">
        <v>4000</v>
      </c>
      <c r="H10" s="45">
        <v>3000</v>
      </c>
      <c r="I10" s="45">
        <v>3000</v>
      </c>
      <c r="J10" s="45">
        <v>3000</v>
      </c>
      <c r="K10" s="45">
        <v>3000</v>
      </c>
      <c r="L10" s="45">
        <v>3000</v>
      </c>
      <c r="M10" s="45">
        <v>3000</v>
      </c>
      <c r="N10" s="45">
        <v>3000</v>
      </c>
      <c r="O10" s="45">
        <v>3000</v>
      </c>
      <c r="P10" s="45">
        <v>3000</v>
      </c>
      <c r="Q10" s="45">
        <v>3000</v>
      </c>
      <c r="R10" s="40">
        <f>SUM(F10:Q10)</f>
        <v>37000</v>
      </c>
    </row>
    <row r="11" spans="2:18" x14ac:dyDescent="0.3">
      <c r="B11" s="5">
        <v>8</v>
      </c>
      <c r="C11" s="11" t="s">
        <v>31</v>
      </c>
      <c r="D11" s="27" t="s">
        <v>11</v>
      </c>
      <c r="E11" s="6"/>
      <c r="F11" s="44">
        <f>+R7-F10</f>
        <v>36500</v>
      </c>
      <c r="G11" s="42">
        <f>IF(F11&gt;G10,F11-G10,0)</f>
        <v>32500</v>
      </c>
      <c r="H11" s="42">
        <f t="shared" ref="H11:Q11" si="1">IF(G11&gt;H10,G11-H10,0)</f>
        <v>29500</v>
      </c>
      <c r="I11" s="42">
        <f t="shared" si="1"/>
        <v>26500</v>
      </c>
      <c r="J11" s="42">
        <f t="shared" si="1"/>
        <v>23500</v>
      </c>
      <c r="K11" s="42">
        <f t="shared" si="1"/>
        <v>20500</v>
      </c>
      <c r="L11" s="42">
        <f t="shared" si="1"/>
        <v>17500</v>
      </c>
      <c r="M11" s="42">
        <f t="shared" si="1"/>
        <v>14500</v>
      </c>
      <c r="N11" s="42">
        <f t="shared" si="1"/>
        <v>11500</v>
      </c>
      <c r="O11" s="42">
        <f t="shared" si="1"/>
        <v>8500</v>
      </c>
      <c r="P11" s="42">
        <f t="shared" si="1"/>
        <v>5500</v>
      </c>
      <c r="Q11" s="42">
        <f t="shared" si="1"/>
        <v>2500</v>
      </c>
      <c r="R11" s="40">
        <f>+Q11</f>
        <v>2500</v>
      </c>
    </row>
    <row r="12" spans="2:18" x14ac:dyDescent="0.3">
      <c r="B12" s="14">
        <v>9</v>
      </c>
      <c r="C12" s="11" t="s">
        <v>18</v>
      </c>
      <c r="D12" s="27" t="s">
        <v>11</v>
      </c>
      <c r="E12" s="6"/>
      <c r="F12" s="44">
        <f t="shared" ref="F12:P12" si="2">IF(F11&gt;0,0,F10-E11)</f>
        <v>0</v>
      </c>
      <c r="G12" s="44">
        <f t="shared" si="2"/>
        <v>0</v>
      </c>
      <c r="H12" s="44">
        <f t="shared" si="2"/>
        <v>0</v>
      </c>
      <c r="I12" s="44">
        <f t="shared" si="2"/>
        <v>0</v>
      </c>
      <c r="J12" s="44">
        <f t="shared" si="2"/>
        <v>0</v>
      </c>
      <c r="K12" s="44">
        <f t="shared" si="2"/>
        <v>0</v>
      </c>
      <c r="L12" s="44">
        <f t="shared" si="2"/>
        <v>0</v>
      </c>
      <c r="M12" s="44">
        <f t="shared" si="2"/>
        <v>0</v>
      </c>
      <c r="N12" s="44">
        <f t="shared" si="2"/>
        <v>0</v>
      </c>
      <c r="O12" s="44">
        <f t="shared" si="2"/>
        <v>0</v>
      </c>
      <c r="P12" s="44">
        <f t="shared" si="2"/>
        <v>0</v>
      </c>
      <c r="Q12" s="44">
        <f>IF(Q11&gt;0,0,Q10-P11)</f>
        <v>0</v>
      </c>
      <c r="R12" s="40">
        <f>SUM(F12:Q12)</f>
        <v>0</v>
      </c>
    </row>
    <row r="13" spans="2:18" x14ac:dyDescent="0.3">
      <c r="B13" s="5"/>
      <c r="C13" s="11"/>
      <c r="D13" s="27"/>
      <c r="E13" s="6"/>
      <c r="F13" s="44"/>
      <c r="G13" s="42"/>
      <c r="H13" s="42"/>
      <c r="I13" s="42"/>
      <c r="J13" s="42"/>
      <c r="K13" s="42"/>
      <c r="L13" s="42"/>
      <c r="M13" s="42"/>
      <c r="N13" s="42"/>
      <c r="O13" s="42"/>
      <c r="P13" s="42"/>
      <c r="Q13" s="42"/>
      <c r="R13" s="40"/>
    </row>
    <row r="14" spans="2:18" x14ac:dyDescent="0.3">
      <c r="B14" s="5">
        <v>10</v>
      </c>
      <c r="C14" s="25" t="s">
        <v>20</v>
      </c>
      <c r="D14" s="28" t="s">
        <v>10</v>
      </c>
      <c r="E14" s="16"/>
      <c r="F14" s="44">
        <f t="shared" ref="F14:Q14" si="3">+F10*F5</f>
        <v>602700</v>
      </c>
      <c r="G14" s="44">
        <f t="shared" si="3"/>
        <v>803600</v>
      </c>
      <c r="H14" s="44">
        <f t="shared" si="3"/>
        <v>602700</v>
      </c>
      <c r="I14" s="44">
        <f t="shared" si="3"/>
        <v>602700</v>
      </c>
      <c r="J14" s="44">
        <f t="shared" si="3"/>
        <v>602700</v>
      </c>
      <c r="K14" s="44">
        <f t="shared" si="3"/>
        <v>602700</v>
      </c>
      <c r="L14" s="44">
        <f t="shared" si="3"/>
        <v>602700</v>
      </c>
      <c r="M14" s="44">
        <f t="shared" si="3"/>
        <v>602700</v>
      </c>
      <c r="N14" s="44">
        <f t="shared" si="3"/>
        <v>602700</v>
      </c>
      <c r="O14" s="44">
        <f t="shared" si="3"/>
        <v>602700</v>
      </c>
      <c r="P14" s="44">
        <f t="shared" si="3"/>
        <v>602700</v>
      </c>
      <c r="Q14" s="44">
        <f t="shared" si="3"/>
        <v>602700</v>
      </c>
      <c r="R14" s="40">
        <f>SUM(F14:Q14)</f>
        <v>7433300</v>
      </c>
    </row>
    <row r="15" spans="2:18" x14ac:dyDescent="0.3">
      <c r="B15"/>
      <c r="C15" s="11"/>
    </row>
    <row r="16" spans="2:18" x14ac:dyDescent="0.3">
      <c r="B16"/>
      <c r="C16" s="11"/>
    </row>
    <row r="17" spans="2:18" x14ac:dyDescent="0.3">
      <c r="B17"/>
      <c r="C17" t="s">
        <v>32</v>
      </c>
      <c r="R17"/>
    </row>
    <row r="18" spans="2:18" x14ac:dyDescent="0.3">
      <c r="C18" t="s">
        <v>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zoomScale="70" zoomScaleNormal="70" workbookViewId="0">
      <selection activeCell="Q10" sqref="Q10"/>
    </sheetView>
  </sheetViews>
  <sheetFormatPr defaultRowHeight="14.4" x14ac:dyDescent="0.3"/>
  <cols>
    <col min="2" max="2" width="5.109375" style="10" bestFit="1" customWidth="1"/>
    <col min="3" max="3" width="38.6640625" customWidth="1"/>
    <col min="4" max="4" width="7.33203125" bestFit="1" customWidth="1"/>
    <col min="5" max="5" width="1.33203125" customWidth="1"/>
    <col min="6" max="6" width="12.6640625" bestFit="1" customWidth="1"/>
    <col min="7" max="17" width="11.109375" bestFit="1" customWidth="1"/>
    <col min="18" max="18" width="11.33203125" style="10" customWidth="1"/>
  </cols>
  <sheetData>
    <row r="1" spans="2:18" x14ac:dyDescent="0.3">
      <c r="C1" s="21" t="s">
        <v>17</v>
      </c>
      <c r="D1" s="22">
        <f>'END OF YR CONSOLIDATION'!$L$5</f>
        <v>7</v>
      </c>
    </row>
    <row r="2" spans="2:18" x14ac:dyDescent="0.3">
      <c r="F2" t="s">
        <v>16</v>
      </c>
    </row>
    <row r="3" spans="2:18" x14ac:dyDescent="0.3">
      <c r="D3" s="9" t="s">
        <v>7</v>
      </c>
      <c r="F3" s="3">
        <v>1</v>
      </c>
      <c r="G3" s="3">
        <v>2</v>
      </c>
      <c r="H3" s="3">
        <v>3</v>
      </c>
      <c r="I3" s="3">
        <v>4</v>
      </c>
      <c r="J3" s="3">
        <v>5</v>
      </c>
      <c r="K3" s="3">
        <v>6</v>
      </c>
      <c r="L3" s="3">
        <v>7</v>
      </c>
      <c r="M3" s="3">
        <v>8</v>
      </c>
      <c r="N3" s="3">
        <v>9</v>
      </c>
      <c r="O3" s="3">
        <v>10</v>
      </c>
      <c r="P3" s="3">
        <v>11</v>
      </c>
      <c r="Q3" s="3">
        <v>12</v>
      </c>
    </row>
    <row r="4" spans="2:18" x14ac:dyDescent="0.3">
      <c r="B4" s="12"/>
      <c r="C4" s="11"/>
      <c r="D4" s="26"/>
      <c r="E4" s="2"/>
    </row>
    <row r="5" spans="2:18" x14ac:dyDescent="0.3">
      <c r="B5" s="5">
        <v>1</v>
      </c>
      <c r="C5" s="11" t="s">
        <v>0</v>
      </c>
      <c r="D5" s="27" t="s">
        <v>8</v>
      </c>
      <c r="E5" s="6"/>
      <c r="F5" s="39">
        <f>HLOOKUP($D$1,'END OF YR CONSOLIDATION'!F5:V7,3,FALSE)</f>
        <v>201.9</v>
      </c>
      <c r="G5" s="39">
        <f>+'END OF YR CONSOLIDATION'!$L7</f>
        <v>201.9</v>
      </c>
      <c r="H5" s="39">
        <f>+'END OF YR CONSOLIDATION'!$L7</f>
        <v>201.9</v>
      </c>
      <c r="I5" s="39">
        <f>+'END OF YR CONSOLIDATION'!$L7</f>
        <v>201.9</v>
      </c>
      <c r="J5" s="39">
        <f>+'END OF YR CONSOLIDATION'!$L7</f>
        <v>201.9</v>
      </c>
      <c r="K5" s="39">
        <f>+'END OF YR CONSOLIDATION'!$L7</f>
        <v>201.9</v>
      </c>
      <c r="L5" s="39">
        <f>+'END OF YR CONSOLIDATION'!$L7</f>
        <v>201.9</v>
      </c>
      <c r="M5" s="39">
        <f>+'END OF YR CONSOLIDATION'!$L7</f>
        <v>201.9</v>
      </c>
      <c r="N5" s="39">
        <f>+'END OF YR CONSOLIDATION'!$L7</f>
        <v>201.9</v>
      </c>
      <c r="O5" s="39">
        <f>+'END OF YR CONSOLIDATION'!$L7</f>
        <v>201.9</v>
      </c>
      <c r="P5" s="39">
        <f>+'END OF YR CONSOLIDATION'!$L7</f>
        <v>201.9</v>
      </c>
      <c r="Q5" s="39">
        <f>+'END OF YR CONSOLIDATION'!$L7</f>
        <v>201.9</v>
      </c>
      <c r="R5" s="40"/>
    </row>
    <row r="6" spans="2:18" x14ac:dyDescent="0.3">
      <c r="B6" s="5"/>
      <c r="C6" s="11"/>
      <c r="D6" s="27"/>
      <c r="E6" s="6"/>
      <c r="F6" s="41"/>
      <c r="G6" s="42"/>
      <c r="H6" s="42"/>
      <c r="I6" s="42"/>
      <c r="J6" s="42"/>
      <c r="K6" s="42"/>
      <c r="L6" s="42"/>
      <c r="M6" s="42"/>
      <c r="N6" s="42"/>
      <c r="O6" s="42"/>
      <c r="P6" s="42"/>
      <c r="Q6" s="42"/>
      <c r="R6" s="40"/>
    </row>
    <row r="7" spans="2:18" x14ac:dyDescent="0.3">
      <c r="B7" s="5">
        <v>4</v>
      </c>
      <c r="C7" s="11" t="s">
        <v>1</v>
      </c>
      <c r="D7" s="27" t="s">
        <v>9</v>
      </c>
      <c r="F7" s="46"/>
      <c r="G7" s="46"/>
      <c r="H7" s="46"/>
      <c r="I7" s="46"/>
      <c r="J7" s="46"/>
      <c r="K7" s="46"/>
      <c r="L7" s="46"/>
      <c r="M7" s="46"/>
      <c r="N7" s="46"/>
      <c r="O7" s="46"/>
      <c r="P7" s="46"/>
      <c r="Q7" s="46"/>
      <c r="R7" s="43">
        <f>+'END OF YR CONSOLIDATION'!L11</f>
        <v>39394</v>
      </c>
    </row>
    <row r="8" spans="2:18" x14ac:dyDescent="0.3">
      <c r="B8" s="5">
        <v>5</v>
      </c>
      <c r="C8" s="11" t="s">
        <v>2</v>
      </c>
      <c r="D8" s="27" t="s">
        <v>9</v>
      </c>
      <c r="F8" s="46"/>
      <c r="G8" s="46"/>
      <c r="H8" s="46"/>
      <c r="I8" s="46"/>
      <c r="J8" s="46"/>
      <c r="K8" s="46"/>
      <c r="L8" s="46"/>
      <c r="M8" s="46"/>
      <c r="N8" s="46"/>
      <c r="O8" s="46"/>
      <c r="P8" s="46"/>
      <c r="Q8" s="46"/>
      <c r="R8" s="43">
        <f>+'END OF YR CONSOLIDATION'!L12</f>
        <v>35455</v>
      </c>
    </row>
    <row r="9" spans="2:18" x14ac:dyDescent="0.3">
      <c r="B9" s="5"/>
      <c r="C9" s="11"/>
      <c r="D9" s="27"/>
      <c r="E9" s="6"/>
      <c r="F9" s="44"/>
      <c r="G9" s="42"/>
      <c r="H9" s="42"/>
      <c r="I9" s="42"/>
      <c r="J9" s="42"/>
      <c r="K9" s="42"/>
      <c r="L9" s="42"/>
      <c r="M9" s="42"/>
      <c r="N9" s="42"/>
      <c r="O9" s="42"/>
      <c r="P9" s="42"/>
      <c r="Q9" s="42"/>
      <c r="R9" s="40"/>
    </row>
    <row r="10" spans="2:18" x14ac:dyDescent="0.3">
      <c r="B10" s="5">
        <v>7</v>
      </c>
      <c r="C10" s="11" t="s">
        <v>19</v>
      </c>
      <c r="D10" s="27" t="s">
        <v>9</v>
      </c>
      <c r="E10" s="6"/>
      <c r="F10" s="45">
        <v>1000</v>
      </c>
      <c r="G10" s="45">
        <v>3000</v>
      </c>
      <c r="H10" s="45">
        <v>3000</v>
      </c>
      <c r="I10" s="45">
        <v>3000</v>
      </c>
      <c r="J10" s="45">
        <v>3000</v>
      </c>
      <c r="K10" s="45">
        <v>4500</v>
      </c>
      <c r="L10" s="45">
        <v>4500</v>
      </c>
      <c r="M10" s="45">
        <v>3500</v>
      </c>
      <c r="N10" s="45">
        <v>4500</v>
      </c>
      <c r="O10" s="45">
        <v>4500</v>
      </c>
      <c r="P10" s="45">
        <v>4500</v>
      </c>
      <c r="Q10" s="45">
        <v>4400</v>
      </c>
      <c r="R10" s="40">
        <f>SUM(F10:Q10)</f>
        <v>43400</v>
      </c>
    </row>
    <row r="11" spans="2:18" x14ac:dyDescent="0.3">
      <c r="B11" s="5">
        <v>8</v>
      </c>
      <c r="C11" s="11" t="s">
        <v>31</v>
      </c>
      <c r="D11" s="27" t="s">
        <v>11</v>
      </c>
      <c r="E11" s="6"/>
      <c r="F11" s="44">
        <f>+R7-F10</f>
        <v>38394</v>
      </c>
      <c r="G11" s="42">
        <f>IF(F11&gt;G10,F11-G10,0)</f>
        <v>35394</v>
      </c>
      <c r="H11" s="42">
        <f t="shared" ref="H11:Q11" si="0">IF(G11&gt;H10,G11-H10,0)</f>
        <v>32394</v>
      </c>
      <c r="I11" s="42">
        <f t="shared" si="0"/>
        <v>29394</v>
      </c>
      <c r="J11" s="42">
        <f t="shared" si="0"/>
        <v>26394</v>
      </c>
      <c r="K11" s="42">
        <f t="shared" si="0"/>
        <v>21894</v>
      </c>
      <c r="L11" s="42">
        <f t="shared" si="0"/>
        <v>17394</v>
      </c>
      <c r="M11" s="42">
        <f t="shared" si="0"/>
        <v>13894</v>
      </c>
      <c r="N11" s="42">
        <f t="shared" si="0"/>
        <v>9394</v>
      </c>
      <c r="O11" s="42">
        <f t="shared" si="0"/>
        <v>4894</v>
      </c>
      <c r="P11" s="42">
        <f t="shared" si="0"/>
        <v>394</v>
      </c>
      <c r="Q11" s="42">
        <f t="shared" si="0"/>
        <v>0</v>
      </c>
      <c r="R11" s="40">
        <f>+Q11</f>
        <v>0</v>
      </c>
    </row>
    <row r="12" spans="2:18" x14ac:dyDescent="0.3">
      <c r="B12" s="14">
        <v>9</v>
      </c>
      <c r="C12" s="11" t="s">
        <v>18</v>
      </c>
      <c r="D12" s="27" t="s">
        <v>11</v>
      </c>
      <c r="E12" s="6"/>
      <c r="F12" s="44">
        <f t="shared" ref="F12:P12" si="1">IF(F11&gt;0,0,F10-E11)</f>
        <v>0</v>
      </c>
      <c r="G12" s="44">
        <f t="shared" si="1"/>
        <v>0</v>
      </c>
      <c r="H12" s="44">
        <f t="shared" si="1"/>
        <v>0</v>
      </c>
      <c r="I12" s="44">
        <f t="shared" si="1"/>
        <v>0</v>
      </c>
      <c r="J12" s="44">
        <f t="shared" si="1"/>
        <v>0</v>
      </c>
      <c r="K12" s="44">
        <f t="shared" si="1"/>
        <v>0</v>
      </c>
      <c r="L12" s="44">
        <f t="shared" si="1"/>
        <v>0</v>
      </c>
      <c r="M12" s="44">
        <f t="shared" si="1"/>
        <v>0</v>
      </c>
      <c r="N12" s="44">
        <f t="shared" si="1"/>
        <v>0</v>
      </c>
      <c r="O12" s="44">
        <f t="shared" si="1"/>
        <v>0</v>
      </c>
      <c r="P12" s="44">
        <f t="shared" si="1"/>
        <v>0</v>
      </c>
      <c r="Q12" s="44">
        <f>IF(Q11&gt;0,0,Q10-P11)</f>
        <v>4006</v>
      </c>
      <c r="R12" s="40">
        <f>SUM(F12:Q12)</f>
        <v>4006</v>
      </c>
    </row>
    <row r="13" spans="2:18" x14ac:dyDescent="0.3">
      <c r="B13" s="5"/>
      <c r="C13" s="11"/>
      <c r="D13" s="27"/>
      <c r="E13" s="6"/>
      <c r="F13" s="44"/>
      <c r="G13" s="42"/>
      <c r="H13" s="42"/>
      <c r="I13" s="42"/>
      <c r="J13" s="42"/>
      <c r="K13" s="42"/>
      <c r="L13" s="42"/>
      <c r="M13" s="42"/>
      <c r="N13" s="42"/>
      <c r="O13" s="42"/>
      <c r="P13" s="42"/>
      <c r="Q13" s="42"/>
      <c r="R13" s="40"/>
    </row>
    <row r="14" spans="2:18" x14ac:dyDescent="0.3">
      <c r="B14" s="5">
        <v>10</v>
      </c>
      <c r="C14" s="25" t="s">
        <v>20</v>
      </c>
      <c r="D14" s="28" t="s">
        <v>10</v>
      </c>
      <c r="E14" s="16"/>
      <c r="F14" s="44">
        <f t="shared" ref="F14:Q14" si="2">+F10*F5</f>
        <v>201900</v>
      </c>
      <c r="G14" s="44">
        <f t="shared" si="2"/>
        <v>605700</v>
      </c>
      <c r="H14" s="44">
        <f t="shared" si="2"/>
        <v>605700</v>
      </c>
      <c r="I14" s="44">
        <f t="shared" si="2"/>
        <v>605700</v>
      </c>
      <c r="J14" s="44">
        <f t="shared" si="2"/>
        <v>605700</v>
      </c>
      <c r="K14" s="44">
        <f t="shared" si="2"/>
        <v>908550</v>
      </c>
      <c r="L14" s="44">
        <f t="shared" si="2"/>
        <v>908550</v>
      </c>
      <c r="M14" s="44">
        <f t="shared" si="2"/>
        <v>706650</v>
      </c>
      <c r="N14" s="44">
        <f t="shared" si="2"/>
        <v>908550</v>
      </c>
      <c r="O14" s="44">
        <f t="shared" si="2"/>
        <v>908550</v>
      </c>
      <c r="P14" s="44">
        <f t="shared" si="2"/>
        <v>908550</v>
      </c>
      <c r="Q14" s="44">
        <f t="shared" si="2"/>
        <v>888360</v>
      </c>
      <c r="R14" s="40">
        <f>SUM(F14:Q14)</f>
        <v>8762460</v>
      </c>
    </row>
    <row r="15" spans="2:18" x14ac:dyDescent="0.3">
      <c r="B15"/>
      <c r="C15" s="11"/>
    </row>
    <row r="16" spans="2:18" x14ac:dyDescent="0.3">
      <c r="B16"/>
      <c r="C16" s="11"/>
    </row>
    <row r="17" spans="2:18" x14ac:dyDescent="0.3">
      <c r="B17"/>
      <c r="C17" t="s">
        <v>32</v>
      </c>
      <c r="R17"/>
    </row>
    <row r="18" spans="2:18" x14ac:dyDescent="0.3">
      <c r="C18"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END OF YR CONSOLIDATION</vt:lpstr>
      <vt:lpstr>CY 1</vt:lpstr>
      <vt:lpstr>CY 2</vt:lpstr>
      <vt:lpstr>CY 3</vt:lpstr>
      <vt:lpstr>CY 4</vt:lpstr>
      <vt:lpstr>CY 5</vt:lpstr>
      <vt:lpstr>CY 6</vt:lpstr>
      <vt:lpstr>CY 7</vt:lpstr>
      <vt:lpstr>'END OF YR CONSOLIDATION'!Print_Area</vt:lpstr>
      <vt:lpstr>'END OF YR CONSOLIDATION'!Print_Titles</vt:lpstr>
    </vt:vector>
  </TitlesOfParts>
  <Company>Quantum Utility Generation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Leung</dc:creator>
  <cp:lastModifiedBy>White, Jennifer A.</cp:lastModifiedBy>
  <cp:lastPrinted>2012-05-20T00:59:59Z</cp:lastPrinted>
  <dcterms:created xsi:type="dcterms:W3CDTF">2012-04-30T18:24:34Z</dcterms:created>
  <dcterms:modified xsi:type="dcterms:W3CDTF">2012-05-20T01:00:04Z</dcterms:modified>
</cp:coreProperties>
</file>